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5520" tabRatio="735" activeTab="3"/>
  </bookViews>
  <sheets>
    <sheet name="IncomeStatement" sheetId="1" r:id="rId1"/>
    <sheet name="balance sheet" sheetId="2" r:id="rId2"/>
    <sheet name="Statement of changes equity" sheetId="3" r:id="rId3"/>
    <sheet name="CASHFLOW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1\">#REF!</definedName>
    <definedName name="bs">#REF!</definedName>
    <definedName name="comm" localSheetId="2">#REF!</definedName>
    <definedName name="comm">#REF!</definedName>
    <definedName name="NOTE_P">#REF!</definedName>
    <definedName name="NOTE_T">#REF!</definedName>
    <definedName name="pnl">#REF!</definedName>
    <definedName name="_xlnm.Print_Area" localSheetId="1">'balance sheet'!$A$1:$E$79</definedName>
    <definedName name="_xlnm.Print_Area" localSheetId="3">'CASHFLOW'!$A$1:$F$73</definedName>
    <definedName name="_xlnm.Print_Area" localSheetId="0">'IncomeStatement'!$B$1:$J$51</definedName>
    <definedName name="_xlnm.Print_Area" localSheetId="2">'Statement of changes equity'!$A$1:$H$43</definedName>
    <definedName name="_xlnm.Print_Titles" localSheetId="1">'balance sheet'!$10:$16</definedName>
    <definedName name="Print_Titles_MI">#REF!</definedName>
    <definedName name="review">'[2]1(e)'!#REF!</definedName>
  </definedNames>
  <calcPr fullCalcOnLoad="1"/>
</workbook>
</file>

<file path=xl/sharedStrings.xml><?xml version="1.0" encoding="utf-8"?>
<sst xmlns="http://schemas.openxmlformats.org/spreadsheetml/2006/main" count="178" uniqueCount="151">
  <si>
    <t>Company name      : WAH SEONG CORPORATION BERHAD (Company No. 495846-A)</t>
  </si>
  <si>
    <t>Stock name            : WASEONG</t>
  </si>
  <si>
    <t>These figures have not been audited.</t>
  </si>
  <si>
    <t>INDIVIDUAL QUARTER</t>
  </si>
  <si>
    <t>CUMULATIVE QUARTER</t>
  </si>
  <si>
    <t>CURRENT</t>
  </si>
  <si>
    <t>PRECEDING YEAR</t>
  </si>
  <si>
    <t>CORRESPONDING</t>
  </si>
  <si>
    <t>PARTICULARS</t>
  </si>
  <si>
    <t>QUARTER ENDED</t>
  </si>
  <si>
    <t>TO DATE ENDED</t>
  </si>
  <si>
    <t>RM’000</t>
  </si>
  <si>
    <t>RM'000</t>
  </si>
  <si>
    <t>Revenue</t>
  </si>
  <si>
    <t>Operating Expenses</t>
  </si>
  <si>
    <t>Profit from the operations</t>
  </si>
  <si>
    <t>Finance cost</t>
  </si>
  <si>
    <t>Share of results of associates</t>
  </si>
  <si>
    <t>Taxation</t>
  </si>
  <si>
    <t>Profit after taxation</t>
  </si>
  <si>
    <t>Pre-acquisition (profit)/loss</t>
  </si>
  <si>
    <t>Minority interests</t>
  </si>
  <si>
    <t>Net profit for the period</t>
  </si>
  <si>
    <t>These figures have not been audited</t>
  </si>
  <si>
    <t xml:space="preserve">Condensed Consolidated Balance Sheets </t>
  </si>
  <si>
    <t xml:space="preserve">AS AT END OF </t>
  </si>
  <si>
    <t>AS AT END OF</t>
  </si>
  <si>
    <t>CURRENT QUARTER</t>
  </si>
  <si>
    <t>PRECEDING FINANCIAL</t>
  </si>
  <si>
    <t>YEAR ENDED</t>
  </si>
  <si>
    <t>Property, plant and equipment</t>
  </si>
  <si>
    <t>Investment in associated company</t>
  </si>
  <si>
    <t>Goodwill less discount on consolidation</t>
  </si>
  <si>
    <t>Other investments</t>
  </si>
  <si>
    <t>Current assets</t>
  </si>
  <si>
    <t>- Inventories</t>
  </si>
  <si>
    <t>- Trade debtors</t>
  </si>
  <si>
    <t>- Fixed deposit with licensed banks</t>
  </si>
  <si>
    <t>- Cash and bank balances</t>
  </si>
  <si>
    <t>Current liabilities</t>
  </si>
  <si>
    <t>- Trade payables</t>
  </si>
  <si>
    <t>- Bank borrowings</t>
  </si>
  <si>
    <t>- Provision for taxation</t>
  </si>
  <si>
    <t xml:space="preserve">Net current assets </t>
  </si>
  <si>
    <t>Financed by:</t>
  </si>
  <si>
    <t xml:space="preserve">Share capital </t>
  </si>
  <si>
    <t>Reserves</t>
  </si>
  <si>
    <t>- Share premium</t>
  </si>
  <si>
    <t>- Revaluation reserve</t>
  </si>
  <si>
    <t>- Capital reserve</t>
  </si>
  <si>
    <t>- Statutory reserve</t>
  </si>
  <si>
    <t>- Retained profit</t>
  </si>
  <si>
    <t>-Translation reserves</t>
  </si>
  <si>
    <t>Shareholders' funds</t>
  </si>
  <si>
    <t>Irredeemable Convertible Unsecured Loan Stock</t>
  </si>
  <si>
    <t>Long term borrowings</t>
  </si>
  <si>
    <t>Other long term liabilities</t>
  </si>
  <si>
    <t xml:space="preserve">CONDENSED CONSOLIDATED STATEMENT OF CHANGES IN EQUITY </t>
  </si>
  <si>
    <t>Share</t>
  </si>
  <si>
    <t>Translation</t>
  </si>
  <si>
    <t>Retained</t>
  </si>
  <si>
    <t>Total</t>
  </si>
  <si>
    <t>capital</t>
  </si>
  <si>
    <t>premium</t>
  </si>
  <si>
    <t>reserve</t>
  </si>
  <si>
    <t xml:space="preserve">profit  </t>
  </si>
  <si>
    <t>Issuance of share capital</t>
  </si>
  <si>
    <t xml:space="preserve">  - conversion of ICULS</t>
  </si>
  <si>
    <t>Exchange translation differences</t>
  </si>
  <si>
    <t>Net profit for the year</t>
  </si>
  <si>
    <t>CONDENSED CONSOLIDATED CASH FLOW STATEMENT</t>
  </si>
  <si>
    <t>Cash Flow From Operating Activities</t>
  </si>
  <si>
    <t>Net profit before tax</t>
  </si>
  <si>
    <t>Adjustment for :-</t>
  </si>
  <si>
    <t xml:space="preserve">        Non cash items</t>
  </si>
  <si>
    <t xml:space="preserve">        Non-operating items</t>
  </si>
  <si>
    <t>Operating Profit Before Working Capital Changes</t>
  </si>
  <si>
    <t>Net changes in current assets</t>
  </si>
  <si>
    <t>Net changes in current liabilities</t>
  </si>
  <si>
    <t>Taxation paid</t>
  </si>
  <si>
    <t>Cash Flow From Investing Activities</t>
  </si>
  <si>
    <t xml:space="preserve">Dividend received </t>
  </si>
  <si>
    <t>Net Cash Flow From Financing Activities</t>
  </si>
  <si>
    <t>Cash and Cash Equivalents at Beginning of Period</t>
  </si>
  <si>
    <t>Cash and Cash Equivalents at End of Period</t>
  </si>
  <si>
    <t>Cash and Bank Balances</t>
  </si>
  <si>
    <t>Bank overdraft</t>
  </si>
  <si>
    <t>Profit before taxation</t>
  </si>
  <si>
    <t>Dividends paid to minority interest</t>
  </si>
  <si>
    <t>Currency Translation Differences</t>
  </si>
  <si>
    <t>CONDENSED CONSOLIDATED INCOME STATEMENTS</t>
  </si>
  <si>
    <t>Deferred tax liabilities</t>
  </si>
  <si>
    <t>Deferred tax assets</t>
  </si>
  <si>
    <t>reserves</t>
  </si>
  <si>
    <t>- Other creditors and accruals</t>
  </si>
  <si>
    <t>Fixed deposit with licensed bank</t>
  </si>
  <si>
    <t>Intangible Assets</t>
  </si>
  <si>
    <t>YEAR</t>
  </si>
  <si>
    <t>Issue of shares</t>
  </si>
  <si>
    <t>Proceeds from disposal of quoted shares</t>
  </si>
  <si>
    <t>Deferred Expenditure</t>
  </si>
  <si>
    <t>Capital</t>
  </si>
  <si>
    <t>Acquisition of shares held by minorities</t>
  </si>
  <si>
    <t>Acquisition of equity investment</t>
  </si>
  <si>
    <t>Net Cash Flow Used In Investing Activities</t>
  </si>
  <si>
    <t>Cash Flow From Financing Activities</t>
  </si>
  <si>
    <t>EPS- (a) Basic (sen)</t>
  </si>
  <si>
    <t xml:space="preserve">            (b)  Diluted (sen)</t>
  </si>
  <si>
    <t>- Gross amount due from customers</t>
  </si>
  <si>
    <t>- Other debtors, deposits and prepayments</t>
  </si>
  <si>
    <t>- Amount owing by associated companies</t>
  </si>
  <si>
    <t>- Gross amount due to customers</t>
  </si>
  <si>
    <t>- Amount owing to associated companies</t>
  </si>
  <si>
    <t>Drawdown of Medium Term Notes</t>
  </si>
  <si>
    <t>Investment In quoted shares</t>
  </si>
  <si>
    <t xml:space="preserve">Other operating income        </t>
  </si>
  <si>
    <t xml:space="preserve">Finance cost              </t>
  </si>
  <si>
    <t>Dividends paid to shareholders of the company</t>
  </si>
  <si>
    <t>Proceeds from disposal of property, plant and equipment</t>
  </si>
  <si>
    <t>Purchase of subsidiary, net of cash</t>
  </si>
  <si>
    <t>Interest Received</t>
  </si>
  <si>
    <t>Gain on disposal of investment</t>
  </si>
  <si>
    <t>Purchases of Properties,Plants and Equipments</t>
  </si>
  <si>
    <t>AUDITED</t>
  </si>
  <si>
    <t>- Amount owing by jointly controlled entities</t>
  </si>
  <si>
    <t>- Tax Recoverable</t>
  </si>
  <si>
    <t>(The Condensed Consolidated Income Statements should be read in conjunction with the Annual Financial Report for the financial year ended 31 December 2004)</t>
  </si>
  <si>
    <t>Balance as at 1 January 2004</t>
  </si>
  <si>
    <t>Balance as at 1 January 2005</t>
  </si>
  <si>
    <t xml:space="preserve">   - pursuant to ESOS</t>
  </si>
  <si>
    <t>Share issue expenses</t>
  </si>
  <si>
    <t>Final dividend of Year 2003 ( 3% less 28% income tax)</t>
  </si>
  <si>
    <t>Interim dividend of Year 2004 ( 2% less 28% income tax)</t>
  </si>
  <si>
    <t>(The Condensed Consolidated Balance Sheets should be read in conjunction with the Annual Financial Report for the financial year ended 31 December 2004)</t>
  </si>
  <si>
    <t>(The Condensed Consolidated Statement of Changes in Equity should be read in conjunction with the Annual Financial Report for the financial year ended 31 December 2004)</t>
  </si>
  <si>
    <t>(The Condensed Consolidated Cash Flow Statement should be read in conjunction with the Annual Financial Report for the financial year ended 31 December 2004)</t>
  </si>
  <si>
    <t>Net proceed from bank borrowings</t>
  </si>
  <si>
    <t>Cash (used in) / generated from operations</t>
  </si>
  <si>
    <t>Net Cash Flow (Used In) / Generated From Operating Activities</t>
  </si>
  <si>
    <t>Financial Period Ended: 30 June 2005</t>
  </si>
  <si>
    <t>QUARTERLY REPORT ON CONSOLIDATED RESULTS FOR THE SECOND QUARTER ENDED 30 JUNE 2005</t>
  </si>
  <si>
    <t>Quarter                   : 2</t>
  </si>
  <si>
    <t>30/6/2004</t>
  </si>
  <si>
    <t>30/6/2005</t>
  </si>
  <si>
    <t>Quarter : 2</t>
  </si>
  <si>
    <t>6 months ended</t>
  </si>
  <si>
    <t>ESOS expenses</t>
  </si>
  <si>
    <t>Net increase in Cash and Cash Equivalents</t>
  </si>
  <si>
    <t>Total Cash and Bank Balances</t>
  </si>
  <si>
    <t>Net Proceeds from Commercial Paper</t>
  </si>
  <si>
    <t>Proceeds from divestment of equity in subsidiary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</si>
</sst>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RM&quot;* #,##0_-;\-&quot;RM&quot;* #,##0_-;_-&quot;RM&quot;* &quot;-&quot;_-;_-@_-"/>
    <numFmt numFmtId="165" formatCode="_-* #,##0_-;\-* #,##0_-;_-* &quot;-&quot;_-;_-@_-"/>
    <numFmt numFmtId="166" formatCode="_-&quot;RM&quot;* #,##0.00_-;\-&quot;RM&quot;* #,##0.00_-;_-&quot;RM&quot;* &quot;-&quot;??_-;_-@_-"/>
    <numFmt numFmtId="167" formatCode="_-* #,##0.00_-;\-* #,##0.00_-;_-* &quot;-&quot;??_-;_-@_-"/>
    <numFmt numFmtId="168" formatCode="_-* #,##0.0_-;\-* #,##0.0_-;_-* &quot;-&quot;??_-;_-@_-"/>
    <numFmt numFmtId="169" formatCode="_-* #,##0_-;\-* #,##0_-;_-* &quot;-&quot;??_-;_-@_-"/>
    <numFmt numFmtId="170" formatCode="_(* #,##0_);_(* \(#,##0\);_(* &quot;-&quot;??_);_(@_)"/>
    <numFmt numFmtId="171" formatCode="\$#,##0.00;\(\$#,##0.00\)"/>
    <numFmt numFmtId="172" formatCode="\$#,##0;\(\$#,##0\)"/>
    <numFmt numFmtId="173" formatCode="#,##0;\(#,##0\)"/>
    <numFmt numFmtId="174" formatCode="&quot;Financial period end:&quot;\ dd\-mmmm\-yyyy"/>
    <numFmt numFmtId="175" formatCode="&quot;QUARTERLY REPORT ON CONSOLIDATED BALANCE SHEET AS AT&quot;\ dd\-mmmm\-yyyy"/>
    <numFmt numFmtId="176" formatCode="&quot;Balance as at&quot;\ dd\ mmmm\ yyyy"/>
    <numFmt numFmtId="177" formatCode="&quot;FOR THE PERIOD ENDED&quot;\ dd\-mmmm\-yyyy"/>
    <numFmt numFmtId="178" formatCode="&quot;Financial year end:&quot;\ dd\-mmmm\-yyyy"/>
    <numFmt numFmtId="179" formatCode="&quot;FOR THE YEAR ENDED&quot;\ dd\-mmmm\-yyyy"/>
    <numFmt numFmtId="180" formatCode="0_);\(0\)"/>
    <numFmt numFmtId="181" formatCode="0.00_);\(0.00\)"/>
    <numFmt numFmtId="182" formatCode="0.0_);\(0.0\)"/>
    <numFmt numFmtId="183" formatCode="0;[Red]0"/>
    <numFmt numFmtId="184" formatCode="#,##0.0_);\(#,##0.0\)"/>
    <numFmt numFmtId="185" formatCode="_(* #,##0.0_);_(* \(#,##0.0\);_(* &quot;-&quot;??_);_(@_)"/>
    <numFmt numFmtId="186" formatCode="#,##0.0"/>
  </numFmts>
  <fonts count="18">
    <font>
      <sz val="10"/>
      <name val="Arial"/>
      <family val="0"/>
    </font>
    <font>
      <sz val="10"/>
      <name val="Times New Roman"/>
      <family val="0"/>
    </font>
    <font>
      <sz val="12"/>
      <name val="Arial"/>
      <family val="0"/>
    </font>
    <font>
      <u val="single"/>
      <sz val="6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b/>
      <sz val="4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1" fillId="0" borderId="0">
      <alignment/>
      <protection/>
    </xf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1" fillId="0" borderId="0">
      <alignment/>
      <protection/>
    </xf>
    <xf numFmtId="0" fontId="2" fillId="0" borderId="0" applyProtection="0">
      <alignment/>
    </xf>
    <xf numFmtId="172" fontId="1" fillId="0" borderId="0">
      <alignment/>
      <protection/>
    </xf>
    <xf numFmtId="2" fontId="2" fillId="0" borderId="0" applyProtection="0">
      <alignment/>
    </xf>
    <xf numFmtId="0" fontId="3" fillId="0" borderId="0" applyNumberFormat="0" applyFill="0" applyBorder="0" applyAlignment="0" applyProtection="0"/>
    <xf numFmtId="0" fontId="4" fillId="0" borderId="0" applyProtection="0">
      <alignment/>
    </xf>
    <xf numFmtId="0" fontId="5" fillId="0" borderId="0" applyProtection="0">
      <alignment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1" applyProtection="0">
      <alignment/>
    </xf>
  </cellStyleXfs>
  <cellXfs count="120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174" fontId="8" fillId="0" borderId="0" xfId="0" applyNumberFormat="1" applyFont="1" applyAlignment="1" applyProtection="1">
      <alignment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center"/>
      <protection hidden="1"/>
    </xf>
    <xf numFmtId="14" fontId="9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justify"/>
      <protection hidden="1"/>
    </xf>
    <xf numFmtId="41" fontId="1" fillId="0" borderId="0" xfId="15" applyNumberFormat="1" applyFont="1" applyBorder="1" applyAlignment="1" applyProtection="1">
      <alignment horizontal="center"/>
      <protection hidden="1"/>
    </xf>
    <xf numFmtId="41" fontId="1" fillId="0" borderId="0" xfId="15" applyNumberFormat="1" applyFont="1" applyFill="1" applyBorder="1" applyAlignment="1" applyProtection="1">
      <alignment horizontal="center"/>
      <protection hidden="1"/>
    </xf>
    <xf numFmtId="41" fontId="1" fillId="0" borderId="2" xfId="15" applyNumberFormat="1" applyFont="1" applyBorder="1" applyAlignment="1" applyProtection="1">
      <alignment horizontal="center"/>
      <protection hidden="1"/>
    </xf>
    <xf numFmtId="41" fontId="1" fillId="0" borderId="3" xfId="15" applyNumberFormat="1" applyFont="1" applyBorder="1" applyAlignment="1" applyProtection="1">
      <alignment horizontal="center"/>
      <protection hidden="1"/>
    </xf>
    <xf numFmtId="41" fontId="1" fillId="0" borderId="4" xfId="15" applyNumberFormat="1" applyFont="1" applyBorder="1" applyAlignment="1" applyProtection="1">
      <alignment horizontal="center"/>
      <protection hidden="1"/>
    </xf>
    <xf numFmtId="41" fontId="1" fillId="0" borderId="5" xfId="15" applyNumberFormat="1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left"/>
      <protection hidden="1"/>
    </xf>
    <xf numFmtId="41" fontId="1" fillId="0" borderId="1" xfId="15" applyNumberFormat="1" applyFont="1" applyBorder="1" applyAlignment="1" applyProtection="1">
      <alignment horizontal="center"/>
      <protection hidden="1"/>
    </xf>
    <xf numFmtId="168" fontId="1" fillId="0" borderId="0" xfId="15" applyNumberFormat="1" applyFont="1" applyFill="1" applyBorder="1" applyAlignment="1" applyProtection="1">
      <alignment horizontal="center"/>
      <protection hidden="1"/>
    </xf>
    <xf numFmtId="167" fontId="1" fillId="0" borderId="0" xfId="15" applyNumberFormat="1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 quotePrefix="1">
      <alignment horizontal="left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/>
      <protection hidden="1"/>
    </xf>
    <xf numFmtId="178" fontId="10" fillId="0" borderId="0" xfId="0" applyNumberFormat="1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0" fillId="0" borderId="0" xfId="0" applyFont="1" applyBorder="1" applyAlignment="1" applyProtection="1">
      <alignment horizontal="center"/>
      <protection hidden="1"/>
    </xf>
    <xf numFmtId="3" fontId="1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41" fontId="1" fillId="0" borderId="3" xfId="15" applyNumberFormat="1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 quotePrefix="1">
      <alignment/>
      <protection hidden="1"/>
    </xf>
    <xf numFmtId="41" fontId="1" fillId="0" borderId="4" xfId="15" applyNumberFormat="1" applyFont="1" applyFill="1" applyBorder="1" applyAlignment="1" applyProtection="1">
      <alignment horizontal="center"/>
      <protection hidden="1"/>
    </xf>
    <xf numFmtId="41" fontId="1" fillId="0" borderId="5" xfId="15" applyNumberFormat="1" applyFont="1" applyFill="1" applyBorder="1" applyAlignment="1" applyProtection="1">
      <alignment horizontal="center"/>
      <protection hidden="1"/>
    </xf>
    <xf numFmtId="41" fontId="1" fillId="0" borderId="0" xfId="15" applyNumberFormat="1" applyFont="1" applyBorder="1" applyAlignment="1" applyProtection="1" quotePrefix="1">
      <alignment horizontal="right"/>
      <protection hidden="1"/>
    </xf>
    <xf numFmtId="41" fontId="1" fillId="0" borderId="2" xfId="15" applyNumberFormat="1" applyFont="1" applyBorder="1" applyAlignment="1" applyProtection="1" quotePrefix="1">
      <alignment horizontal="right"/>
      <protection hidden="1"/>
    </xf>
    <xf numFmtId="41" fontId="1" fillId="0" borderId="0" xfId="15" applyNumberFormat="1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8" fillId="0" borderId="0" xfId="19" applyNumberFormat="1" applyFont="1" applyAlignment="1" applyProtection="1">
      <alignment horizontal="left"/>
      <protection hidden="1"/>
    </xf>
    <xf numFmtId="170" fontId="12" fillId="0" borderId="0" xfId="19" applyNumberFormat="1" applyFont="1" applyAlignment="1" applyProtection="1">
      <alignment/>
      <protection hidden="1"/>
    </xf>
    <xf numFmtId="170" fontId="8" fillId="0" borderId="0" xfId="19" applyNumberFormat="1" applyFont="1" applyAlignment="1" applyProtection="1">
      <alignment horizontal="left"/>
      <protection hidden="1"/>
    </xf>
    <xf numFmtId="170" fontId="1" fillId="0" borderId="0" xfId="19" applyNumberFormat="1" applyFont="1" applyAlignment="1" applyProtection="1">
      <alignment/>
      <protection hidden="1"/>
    </xf>
    <xf numFmtId="170" fontId="0" fillId="0" borderId="0" xfId="19" applyNumberFormat="1" applyAlignment="1" applyProtection="1">
      <alignment/>
      <protection hidden="1"/>
    </xf>
    <xf numFmtId="170" fontId="1" fillId="0" borderId="3" xfId="19" applyNumberFormat="1" applyFont="1" applyBorder="1" applyAlignment="1" applyProtection="1">
      <alignment horizontal="center"/>
      <protection hidden="1"/>
    </xf>
    <xf numFmtId="170" fontId="8" fillId="0" borderId="6" xfId="19" applyNumberFormat="1" applyFont="1" applyBorder="1" applyAlignment="1" applyProtection="1">
      <alignment horizontal="center"/>
      <protection hidden="1"/>
    </xf>
    <xf numFmtId="170" fontId="0" fillId="0" borderId="0" xfId="19" applyNumberFormat="1" applyAlignment="1" applyProtection="1">
      <alignment horizontal="center"/>
      <protection hidden="1"/>
    </xf>
    <xf numFmtId="170" fontId="1" fillId="0" borderId="4" xfId="19" applyNumberFormat="1" applyFont="1" applyBorder="1" applyAlignment="1" applyProtection="1">
      <alignment horizontal="center"/>
      <protection hidden="1"/>
    </xf>
    <xf numFmtId="170" fontId="8" fillId="0" borderId="0" xfId="19" applyNumberFormat="1" applyFont="1" applyBorder="1" applyAlignment="1" applyProtection="1">
      <alignment horizontal="center"/>
      <protection hidden="1"/>
    </xf>
    <xf numFmtId="170" fontId="1" fillId="0" borderId="5" xfId="19" applyNumberFormat="1" applyFont="1" applyBorder="1" applyAlignment="1" applyProtection="1">
      <alignment horizontal="center"/>
      <protection hidden="1"/>
    </xf>
    <xf numFmtId="170" fontId="8" fillId="0" borderId="2" xfId="19" applyNumberFormat="1" applyFont="1" applyBorder="1" applyAlignment="1" applyProtection="1">
      <alignment horizontal="center"/>
      <protection hidden="1"/>
    </xf>
    <xf numFmtId="170" fontId="8" fillId="0" borderId="5" xfId="19" applyNumberFormat="1" applyFont="1" applyBorder="1" applyAlignment="1" applyProtection="1">
      <alignment horizontal="center"/>
      <protection hidden="1"/>
    </xf>
    <xf numFmtId="170" fontId="0" fillId="0" borderId="0" xfId="19" applyNumberFormat="1" applyFont="1" applyAlignment="1" applyProtection="1">
      <alignment horizontal="center"/>
      <protection hidden="1"/>
    </xf>
    <xf numFmtId="170" fontId="1" fillId="0" borderId="4" xfId="19" applyNumberFormat="1" applyFont="1" applyBorder="1" applyAlignment="1" applyProtection="1">
      <alignment/>
      <protection hidden="1"/>
    </xf>
    <xf numFmtId="170" fontId="1" fillId="0" borderId="4" xfId="19" applyNumberFormat="1" applyFont="1" applyBorder="1" applyAlignment="1" applyProtection="1">
      <alignment wrapText="1"/>
      <protection hidden="1"/>
    </xf>
    <xf numFmtId="170" fontId="1" fillId="0" borderId="6" xfId="19" applyNumberFormat="1" applyFont="1" applyBorder="1" applyAlignment="1" applyProtection="1">
      <alignment/>
      <protection hidden="1"/>
    </xf>
    <xf numFmtId="170" fontId="1" fillId="0" borderId="3" xfId="19" applyNumberFormat="1" applyFont="1" applyBorder="1" applyAlignment="1" applyProtection="1">
      <alignment/>
      <protection hidden="1"/>
    </xf>
    <xf numFmtId="176" fontId="1" fillId="0" borderId="5" xfId="19" applyNumberFormat="1" applyFont="1" applyBorder="1" applyAlignment="1" applyProtection="1">
      <alignment horizontal="left"/>
      <protection hidden="1"/>
    </xf>
    <xf numFmtId="170" fontId="1" fillId="0" borderId="1" xfId="19" applyNumberFormat="1" applyFont="1" applyBorder="1" applyAlignment="1" applyProtection="1">
      <alignment/>
      <protection hidden="1"/>
    </xf>
    <xf numFmtId="170" fontId="1" fillId="0" borderId="7" xfId="19" applyNumberFormat="1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 horizontal="center"/>
      <protection hidden="1"/>
    </xf>
    <xf numFmtId="169" fontId="1" fillId="0" borderId="0" xfId="15" applyNumberFormat="1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170" fontId="1" fillId="0" borderId="4" xfId="19" applyNumberFormat="1" applyFont="1" applyBorder="1" applyAlignment="1" applyProtection="1" quotePrefix="1">
      <alignment/>
      <protection hidden="1"/>
    </xf>
    <xf numFmtId="41" fontId="17" fillId="0" borderId="1" xfId="15" applyNumberFormat="1" applyFont="1" applyBorder="1" applyAlignment="1" applyProtection="1">
      <alignment horizontal="center"/>
      <protection hidden="1"/>
    </xf>
    <xf numFmtId="41" fontId="0" fillId="0" borderId="0" xfId="0" applyNumberFormat="1" applyAlignment="1" applyProtection="1">
      <alignment/>
      <protection hidden="1"/>
    </xf>
    <xf numFmtId="41" fontId="17" fillId="0" borderId="0" xfId="15" applyNumberFormat="1" applyFont="1" applyBorder="1" applyAlignment="1" applyProtection="1">
      <alignment horizontal="center"/>
      <protection hidden="1"/>
    </xf>
    <xf numFmtId="170" fontId="1" fillId="2" borderId="4" xfId="15" applyNumberFormat="1" applyFont="1" applyFill="1" applyBorder="1" applyAlignment="1" applyProtection="1">
      <alignment/>
      <protection hidden="1"/>
    </xf>
    <xf numFmtId="0" fontId="13" fillId="0" borderId="0" xfId="0" applyNumberFormat="1" applyFont="1" applyAlignment="1" applyProtection="1">
      <alignment/>
      <protection hidden="1"/>
    </xf>
    <xf numFmtId="0" fontId="14" fillId="0" borderId="0" xfId="0" applyNumberFormat="1" applyFont="1" applyAlignment="1" applyProtection="1">
      <alignment/>
      <protection hidden="1"/>
    </xf>
    <xf numFmtId="0" fontId="15" fillId="0" borderId="0" xfId="0" applyNumberFormat="1" applyFont="1" applyFill="1" applyAlignment="1" applyProtection="1">
      <alignment/>
      <protection hidden="1"/>
    </xf>
    <xf numFmtId="0" fontId="15" fillId="0" borderId="0" xfId="0" applyNumberFormat="1" applyFont="1" applyAlignment="1" applyProtection="1">
      <alignment/>
      <protection hidden="1"/>
    </xf>
    <xf numFmtId="178" fontId="13" fillId="0" borderId="0" xfId="0" applyNumberFormat="1" applyFont="1" applyAlignment="1" applyProtection="1">
      <alignment horizontal="left"/>
      <protection hidden="1"/>
    </xf>
    <xf numFmtId="0" fontId="13" fillId="0" borderId="0" xfId="0" applyFont="1" applyAlignment="1" applyProtection="1">
      <alignment/>
      <protection hidden="1"/>
    </xf>
    <xf numFmtId="17" fontId="16" fillId="0" borderId="0" xfId="0" applyNumberFormat="1" applyFont="1" applyFill="1" applyAlignment="1" applyProtection="1">
      <alignment horizontal="center"/>
      <protection hidden="1"/>
    </xf>
    <xf numFmtId="17" fontId="16" fillId="0" borderId="0" xfId="0" applyNumberFormat="1" applyFont="1" applyAlignment="1" applyProtection="1">
      <alignment horizontal="center"/>
      <protection hidden="1"/>
    </xf>
    <xf numFmtId="179" fontId="13" fillId="0" borderId="0" xfId="0" applyNumberFormat="1" applyFont="1" applyAlignment="1" applyProtection="1">
      <alignment horizontal="left"/>
      <protection hidden="1"/>
    </xf>
    <xf numFmtId="14" fontId="16" fillId="0" borderId="0" xfId="0" applyNumberFormat="1" applyFont="1" applyFill="1" applyAlignment="1" applyProtection="1" quotePrefix="1">
      <alignment horizontal="center"/>
      <protection hidden="1"/>
    </xf>
    <xf numFmtId="14" fontId="8" fillId="0" borderId="0" xfId="0" applyNumberFormat="1" applyFont="1" applyAlignment="1" applyProtection="1">
      <alignment/>
      <protection hidden="1"/>
    </xf>
    <xf numFmtId="14" fontId="16" fillId="0" borderId="0" xfId="0" applyNumberFormat="1" applyFont="1" applyAlignment="1" applyProtection="1" quotePrefix="1">
      <alignment horizontal="center"/>
      <protection hidden="1"/>
    </xf>
    <xf numFmtId="0" fontId="16" fillId="0" borderId="0" xfId="0" applyNumberFormat="1" applyFont="1" applyFill="1" applyAlignment="1" applyProtection="1">
      <alignment horizontal="center"/>
      <protection hidden="1"/>
    </xf>
    <xf numFmtId="0" fontId="16" fillId="0" borderId="0" xfId="0" applyNumberFormat="1" applyFont="1" applyAlignment="1" applyProtection="1">
      <alignment horizontal="center"/>
      <protection hidden="1"/>
    </xf>
    <xf numFmtId="41" fontId="15" fillId="0" borderId="0" xfId="0" applyNumberFormat="1" applyFont="1" applyFill="1" applyAlignment="1" applyProtection="1">
      <alignment/>
      <protection hidden="1"/>
    </xf>
    <xf numFmtId="178" fontId="8" fillId="0" borderId="0" xfId="19" applyNumberFormat="1" applyFont="1" applyAlignment="1" applyProtection="1">
      <alignment horizontal="left"/>
      <protection hidden="1"/>
    </xf>
    <xf numFmtId="170" fontId="8" fillId="0" borderId="0" xfId="19" applyNumberFormat="1" applyFont="1" applyAlignment="1" applyProtection="1">
      <alignment horizontal="center"/>
      <protection hidden="1"/>
    </xf>
    <xf numFmtId="0" fontId="16" fillId="0" borderId="0" xfId="0" applyNumberFormat="1" applyFont="1" applyAlignment="1" applyProtection="1">
      <alignment/>
      <protection hidden="1"/>
    </xf>
    <xf numFmtId="41" fontId="15" fillId="0" borderId="0" xfId="0" applyNumberFormat="1" applyFont="1" applyAlignment="1" applyProtection="1">
      <alignment/>
      <protection hidden="1"/>
    </xf>
    <xf numFmtId="41" fontId="16" fillId="0" borderId="0" xfId="18" applyNumberFormat="1" applyFont="1" applyFill="1" applyAlignment="1" applyProtection="1">
      <alignment/>
      <protection hidden="1"/>
    </xf>
    <xf numFmtId="41" fontId="16" fillId="0" borderId="0" xfId="18" applyNumberFormat="1" applyFont="1" applyAlignment="1" applyProtection="1">
      <alignment/>
      <protection hidden="1"/>
    </xf>
    <xf numFmtId="41" fontId="15" fillId="0" borderId="0" xfId="18" applyNumberFormat="1" applyFont="1" applyFill="1" applyAlignment="1" applyProtection="1">
      <alignment/>
      <protection hidden="1"/>
    </xf>
    <xf numFmtId="41" fontId="15" fillId="0" borderId="0" xfId="18" applyNumberFormat="1" applyFont="1" applyAlignment="1" applyProtection="1">
      <alignment/>
      <protection hidden="1"/>
    </xf>
    <xf numFmtId="41" fontId="15" fillId="0" borderId="6" xfId="18" applyNumberFormat="1" applyFont="1" applyFill="1" applyBorder="1" applyAlignment="1" applyProtection="1">
      <alignment/>
      <protection hidden="1"/>
    </xf>
    <xf numFmtId="41" fontId="15" fillId="0" borderId="6" xfId="18" applyNumberFormat="1" applyFont="1" applyBorder="1" applyAlignment="1" applyProtection="1">
      <alignment/>
      <protection hidden="1"/>
    </xf>
    <xf numFmtId="41" fontId="15" fillId="2" borderId="0" xfId="18" applyNumberFormat="1" applyFont="1" applyFill="1" applyAlignment="1" applyProtection="1">
      <alignment/>
      <protection hidden="1"/>
    </xf>
    <xf numFmtId="41" fontId="16" fillId="0" borderId="2" xfId="18" applyNumberFormat="1" applyFont="1" applyFill="1" applyBorder="1" applyAlignment="1" applyProtection="1">
      <alignment/>
      <protection hidden="1"/>
    </xf>
    <xf numFmtId="41" fontId="16" fillId="0" borderId="2" xfId="18" applyNumberFormat="1" applyFont="1" applyBorder="1" applyAlignment="1" applyProtection="1">
      <alignment/>
      <protection hidden="1"/>
    </xf>
    <xf numFmtId="41" fontId="16" fillId="0" borderId="0" xfId="18" applyNumberFormat="1" applyFont="1" applyFill="1" applyBorder="1" applyAlignment="1" applyProtection="1">
      <alignment/>
      <protection hidden="1"/>
    </xf>
    <xf numFmtId="41" fontId="15" fillId="0" borderId="0" xfId="18" applyNumberFormat="1" applyFont="1" applyBorder="1" applyAlignment="1" applyProtection="1">
      <alignment/>
      <protection hidden="1"/>
    </xf>
    <xf numFmtId="41" fontId="15" fillId="0" borderId="0" xfId="18" applyNumberFormat="1" applyFont="1" applyFill="1" applyBorder="1" applyAlignment="1" applyProtection="1">
      <alignment/>
      <protection hidden="1"/>
    </xf>
    <xf numFmtId="41" fontId="16" fillId="0" borderId="8" xfId="18" applyNumberFormat="1" applyFont="1" applyFill="1" applyBorder="1" applyAlignment="1" applyProtection="1">
      <alignment/>
      <protection hidden="1"/>
    </xf>
    <xf numFmtId="41" fontId="16" fillId="0" borderId="8" xfId="18" applyNumberFormat="1" applyFont="1" applyBorder="1" applyAlignment="1" applyProtection="1">
      <alignment/>
      <protection hidden="1"/>
    </xf>
    <xf numFmtId="0" fontId="14" fillId="0" borderId="0" xfId="0" applyNumberFormat="1" applyFont="1" applyFill="1" applyAlignment="1" applyProtection="1">
      <alignment/>
      <protection hidden="1"/>
    </xf>
    <xf numFmtId="170" fontId="15" fillId="0" borderId="0" xfId="15" applyNumberFormat="1" applyFont="1" applyFill="1" applyAlignment="1" applyProtection="1">
      <alignment/>
      <protection hidden="1"/>
    </xf>
    <xf numFmtId="170" fontId="15" fillId="0" borderId="0" xfId="15" applyNumberFormat="1" applyFont="1" applyFill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41" fontId="1" fillId="0" borderId="0" xfId="0" applyNumberFormat="1" applyFont="1" applyFill="1" applyAlignment="1" applyProtection="1">
      <alignment/>
      <protection hidden="1"/>
    </xf>
    <xf numFmtId="41" fontId="1" fillId="0" borderId="0" xfId="0" applyNumberFormat="1" applyFont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178" fontId="8" fillId="0" borderId="0" xfId="0" applyNumberFormat="1" applyFont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75" fontId="10" fillId="0" borderId="0" xfId="0" applyNumberFormat="1" applyFont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center" wrapText="1"/>
      <protection hidden="1"/>
    </xf>
    <xf numFmtId="170" fontId="8" fillId="0" borderId="3" xfId="19" applyNumberFormat="1" applyFont="1" applyBorder="1" applyAlignment="1" applyProtection="1">
      <alignment horizontal="center" vertical="center"/>
      <protection hidden="1"/>
    </xf>
    <xf numFmtId="170" fontId="8" fillId="0" borderId="4" xfId="19" applyNumberFormat="1" applyFont="1" applyBorder="1" applyAlignment="1" applyProtection="1">
      <alignment horizontal="center" vertical="center"/>
      <protection hidden="1"/>
    </xf>
    <xf numFmtId="0" fontId="8" fillId="0" borderId="0" xfId="19" applyNumberFormat="1" applyFont="1" applyAlignment="1" applyProtection="1">
      <alignment horizontal="left"/>
      <protection hidden="1"/>
    </xf>
    <xf numFmtId="177" fontId="8" fillId="0" borderId="0" xfId="19" applyNumberFormat="1" applyFont="1" applyAlignment="1" applyProtection="1">
      <alignment horizontal="center"/>
      <protection hidden="1"/>
    </xf>
  </cellXfs>
  <cellStyles count="18">
    <cellStyle name="Normal" xfId="0"/>
    <cellStyle name="Comma" xfId="15"/>
    <cellStyle name="Comma [0]" xfId="16"/>
    <cellStyle name="comma zerodec" xfId="17"/>
    <cellStyle name="Comma_WSC Quarterly Report-1Q-2004 (Analysis)" xfId="18"/>
    <cellStyle name="Comma_WSC-ConsolSep2002" xfId="19"/>
    <cellStyle name="Currency" xfId="20"/>
    <cellStyle name="Currency [0]" xfId="21"/>
    <cellStyle name="Currency1" xfId="22"/>
    <cellStyle name="Date" xfId="23"/>
    <cellStyle name="Dollar (zero dec)" xfId="24"/>
    <cellStyle name="Fixed" xfId="25"/>
    <cellStyle name="Followed Hyperlink" xfId="26"/>
    <cellStyle name="HEADING1" xfId="27"/>
    <cellStyle name="HEADING2" xfId="28"/>
    <cellStyle name="Hyperlink" xfId="29"/>
    <cellStyle name="Percent" xfId="30"/>
    <cellStyle name="Total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y%20Documents\muiping2001\sc\other\muiping2001\conference\conferences\WSIHGroupConsold1995-2000TrackRecor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BOTCO-BUDGETfor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muiping2001\sc\other\muiping2001\conference\conferences\WSIHGroupConsold1995-2000TrackRecor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nsol%20Accounts\Dec-2003\Quarterly%20Announcement\2nd%20Draft\WSC%20Quarterly%20Report-Dec2003(2nd%20Draft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Content.IE5\WBUDKZM1\WSCBConsol0605(A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ml\Desktop\WSC%20Group%20Conso%20Files\MLSiew\Conso_June05(Act)\WSCBConsol0605(A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Content.IE5\WBUDKZM1\WSCB%20Cash%20Flows%2006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SC"/>
      <sheetName val="WSIHGroup"/>
      <sheetName val="finhightlight"/>
      <sheetName val="finhightlight (WSC)"/>
      <sheetName val="finhightlight (STHC)"/>
      <sheetName val="summary"/>
      <sheetName val="EVA(total"/>
      <sheetName val="EVA(PPI)"/>
      <sheetName val="EVA(PPSC"/>
      <sheetName val="EVA(STHT)"/>
      <sheetName val="EVA(jutasama)"/>
      <sheetName val="EVA(PMT)(GROUP)"/>
      <sheetName val="EVA(PMT)"/>
      <sheetName val="EVA(PAMLTECH)"/>
      <sheetName val="EVA(PAMLVEST"/>
      <sheetName val="EVA(PPCP) "/>
      <sheetName val="EVA(TJFY)"/>
      <sheetName val="EVA(WSB)"/>
      <sheetName val="PPI"/>
      <sheetName val="STH(a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(a)"/>
      <sheetName val="1(b)"/>
      <sheetName val="1(c)"/>
      <sheetName val="1(e)"/>
      <sheetName val="1(f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SC"/>
      <sheetName val="WSIHGroup"/>
      <sheetName val="finhightlight"/>
      <sheetName val="finhightlight (WSC)"/>
      <sheetName val="finhightlight (STHC)"/>
      <sheetName val="summary"/>
      <sheetName val="EVA(total"/>
      <sheetName val="EVA(PPI)"/>
      <sheetName val="EVA(PPSC"/>
      <sheetName val="EVA(STHT)"/>
      <sheetName val="EVA(jutasama)"/>
      <sheetName val="EVA(PMT)(GROUP)"/>
      <sheetName val="EVA(PMT)"/>
      <sheetName val="EVA(PAMLTECH)"/>
      <sheetName val="EVA(PAMLVEST"/>
      <sheetName val="EVA(PPCP) "/>
      <sheetName val="EVA(TJFY)"/>
      <sheetName val="EVA(WSB)"/>
      <sheetName val="PPI"/>
      <sheetName val="STH(a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comeStatement"/>
      <sheetName val="balance sheet"/>
      <sheetName val="Statement of changes equity"/>
      <sheetName val="CASHFLOW"/>
    </sheetNames>
    <sheetDataSet>
      <sheetData sheetId="2">
        <row r="2">
          <cell r="A2" t="str">
            <v>Company name      : WAH SEONG CORPORATION BERHAD (Company No. 495846-A)</v>
          </cell>
        </row>
        <row r="3">
          <cell r="A3" t="str">
            <v>Stock name            : WASEONG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ddInfo"/>
      <sheetName val="D-Valuation"/>
      <sheetName val="DispFA"/>
      <sheetName val="WSCPL"/>
      <sheetName val="WSCBS"/>
      <sheetName val="NoteCBS"/>
      <sheetName val="NoteCPL"/>
      <sheetName val="Journal"/>
      <sheetName val="ROCE"/>
      <sheetName val="ROCE2002"/>
      <sheetName val="Segmental-YTD"/>
      <sheetName val="Consol(FA)"/>
      <sheetName val="EPS"/>
      <sheetName val="PL"/>
      <sheetName val="BS"/>
      <sheetName val="Seg-2002"/>
      <sheetName val="StEquity"/>
      <sheetName val="Quantify"/>
      <sheetName val="Goodwill"/>
      <sheetName val="PYA"/>
      <sheetName val="MI"/>
      <sheetName val="LT"/>
      <sheetName val="ST"/>
      <sheetName val="SumLeasehold"/>
      <sheetName val="Geo"/>
      <sheetName val="CSF"/>
      <sheetName val="OPincome"/>
      <sheetName val="FD"/>
      <sheetName val="Dtax2002"/>
      <sheetName val="Dtax"/>
      <sheetName val="Income-Seg"/>
      <sheetName val="AR"/>
      <sheetName val="2002"/>
      <sheetName val="cfs"/>
      <sheetName val="cflw"/>
      <sheetName val="lead"/>
      <sheetName val="BS-Segmental"/>
      <sheetName val="Taxreasonabletest"/>
      <sheetName val="investing income"/>
      <sheetName val="NonCF"/>
      <sheetName val="EI"/>
      <sheetName val="BankBorrow"/>
      <sheetName val="Investment"/>
    </sheetNames>
    <sheetDataSet>
      <sheetData sheetId="4">
        <row r="7">
          <cell r="U7">
            <v>451825.3341531166</v>
          </cell>
        </row>
        <row r="12">
          <cell r="U12">
            <v>-363755.29294590343</v>
          </cell>
        </row>
        <row r="16">
          <cell r="U16">
            <v>5237.486538207333</v>
          </cell>
        </row>
        <row r="19">
          <cell r="U19">
            <v>-30153.27951068</v>
          </cell>
        </row>
        <row r="21">
          <cell r="U21">
            <v>-17025.339571784</v>
          </cell>
        </row>
        <row r="22">
          <cell r="U22">
            <v>-151.79299999999998</v>
          </cell>
        </row>
        <row r="30">
          <cell r="U30">
            <v>-7415.9067653973325</v>
          </cell>
        </row>
        <row r="32">
          <cell r="U32">
            <v>17140.924080386667</v>
          </cell>
        </row>
        <row r="34">
          <cell r="U34">
            <v>9099.881205082875</v>
          </cell>
        </row>
        <row r="42">
          <cell r="U42">
            <v>-8756.715087738667</v>
          </cell>
        </row>
        <row r="44">
          <cell r="U44">
            <v>0</v>
          </cell>
        </row>
        <row r="45">
          <cell r="U45">
            <v>-2472.266</v>
          </cell>
        </row>
        <row r="51">
          <cell r="U51">
            <v>-15623.66560558364</v>
          </cell>
        </row>
      </sheetData>
      <sheetData sheetId="5">
        <row r="5">
          <cell r="R5">
            <v>172522.48512680002</v>
          </cell>
        </row>
        <row r="8">
          <cell r="R8">
            <v>93.99699999999939</v>
          </cell>
        </row>
        <row r="21">
          <cell r="R21">
            <v>88690.74942655384</v>
          </cell>
        </row>
        <row r="23">
          <cell r="R23">
            <v>-347.36891052</v>
          </cell>
        </row>
        <row r="33">
          <cell r="R33">
            <v>68711</v>
          </cell>
        </row>
        <row r="34">
          <cell r="R34">
            <v>89.104</v>
          </cell>
        </row>
        <row r="35">
          <cell r="R35">
            <v>1792</v>
          </cell>
        </row>
        <row r="36">
          <cell r="R36">
            <v>125743.60128339998</v>
          </cell>
        </row>
        <row r="37">
          <cell r="R37">
            <v>11122.548</v>
          </cell>
        </row>
        <row r="78">
          <cell r="R78">
            <v>0</v>
          </cell>
        </row>
        <row r="85">
          <cell r="R85">
            <v>418.74</v>
          </cell>
        </row>
        <row r="88">
          <cell r="R88">
            <v>38.760000000000005</v>
          </cell>
        </row>
        <row r="89">
          <cell r="R89">
            <v>91920.5742472</v>
          </cell>
        </row>
        <row r="90">
          <cell r="R90">
            <v>8365.93109064</v>
          </cell>
        </row>
        <row r="91">
          <cell r="R91">
            <v>180555.0080516</v>
          </cell>
        </row>
        <row r="92">
          <cell r="R92">
            <v>3833.60438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ddInfo"/>
      <sheetName val="D-Valuation"/>
      <sheetName val="DispFA"/>
      <sheetName val="WSCPL"/>
      <sheetName val="WSCBS"/>
      <sheetName val="NoteCBS"/>
      <sheetName val="NoteCPL"/>
      <sheetName val="Inter-Co Analysis"/>
      <sheetName val="Journal"/>
      <sheetName val="ROCE"/>
      <sheetName val="ROCE2002"/>
      <sheetName val="Segmental-YTD"/>
      <sheetName val="Consol(FA)"/>
      <sheetName val="EPS"/>
      <sheetName val="PL"/>
      <sheetName val="BS"/>
      <sheetName val="Seg-2002"/>
      <sheetName val="StEquity"/>
      <sheetName val="Quantify"/>
      <sheetName val="Goodwill"/>
      <sheetName val="PYA"/>
      <sheetName val="MI"/>
      <sheetName val="LT"/>
      <sheetName val="ST"/>
      <sheetName val="SumLeasehold"/>
      <sheetName val="Geo"/>
      <sheetName val="CSF"/>
      <sheetName val="OPincome"/>
      <sheetName val="FD"/>
      <sheetName val="Dtax2002"/>
      <sheetName val="Dtax"/>
      <sheetName val="Income-Seg"/>
      <sheetName val="AR"/>
      <sheetName val="2002"/>
      <sheetName val="cfs"/>
      <sheetName val="cflw"/>
      <sheetName val="lead"/>
      <sheetName val="BS-Segmental"/>
      <sheetName val="Taxreasonabletest"/>
      <sheetName val="investing income"/>
      <sheetName val="NonCF"/>
      <sheetName val="EI"/>
      <sheetName val="BankBorrow"/>
      <sheetName val="Investment"/>
    </sheetNames>
    <sheetDataSet>
      <sheetData sheetId="5">
        <row r="22">
          <cell r="R22">
            <v>405.9987515000066</v>
          </cell>
        </row>
        <row r="27">
          <cell r="R27">
            <v>173689.5119665259</v>
          </cell>
        </row>
        <row r="39">
          <cell r="R39">
            <v>343594.97467424005</v>
          </cell>
        </row>
        <row r="41">
          <cell r="R41">
            <v>40.095</v>
          </cell>
        </row>
        <row r="46">
          <cell r="R46">
            <v>40119.02959212</v>
          </cell>
        </row>
        <row r="48">
          <cell r="R48">
            <v>96121.80700042992</v>
          </cell>
        </row>
        <row r="53">
          <cell r="R53">
            <v>3859.2691608</v>
          </cell>
        </row>
        <row r="55">
          <cell r="R55">
            <v>4158.521</v>
          </cell>
        </row>
        <row r="58">
          <cell r="R58">
            <v>174529.7375637</v>
          </cell>
        </row>
        <row r="59">
          <cell r="R59">
            <v>338491.19220734</v>
          </cell>
        </row>
        <row r="60">
          <cell r="R60">
            <v>43165.381981259976</v>
          </cell>
        </row>
        <row r="61">
          <cell r="R61">
            <v>10858.761977</v>
          </cell>
        </row>
        <row r="62">
          <cell r="R62">
            <v>3217.716</v>
          </cell>
        </row>
        <row r="69">
          <cell r="R69">
            <v>8724.1791108</v>
          </cell>
        </row>
        <row r="70">
          <cell r="R70">
            <v>544.1000860000001</v>
          </cell>
        </row>
        <row r="71">
          <cell r="R71">
            <v>46167.188274</v>
          </cell>
        </row>
        <row r="72">
          <cell r="R72">
            <v>42341.40141</v>
          </cell>
        </row>
        <row r="75">
          <cell r="R75">
            <v>99993.3691376</v>
          </cell>
        </row>
        <row r="76">
          <cell r="R76">
            <v>121800.73646787599</v>
          </cell>
        </row>
        <row r="77">
          <cell r="R77">
            <v>6491.936247000001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SHFLOW"/>
      <sheetName val="CF Worksheet"/>
      <sheetName val="Effect of Acq &amp; Disp"/>
      <sheetName val="Group FA"/>
      <sheetName val="NoteCPL-WSC"/>
      <sheetName val="NoteCPL-WSIH"/>
    </sheetNames>
    <sheetDataSet>
      <sheetData sheetId="1">
        <row r="10">
          <cell r="AV10">
            <v>64802.38675922872</v>
          </cell>
        </row>
        <row r="37">
          <cell r="AT37">
            <v>-9865.738740386669</v>
          </cell>
        </row>
        <row r="49">
          <cell r="AT49">
            <v>-2005.2155911026675</v>
          </cell>
        </row>
        <row r="55">
          <cell r="AT55">
            <v>-33901</v>
          </cell>
        </row>
        <row r="56">
          <cell r="AT56">
            <v>-104742</v>
          </cell>
        </row>
        <row r="57">
          <cell r="AT57">
            <v>68564.10566</v>
          </cell>
        </row>
        <row r="62">
          <cell r="AV62">
            <v>-4135</v>
          </cell>
        </row>
        <row r="63">
          <cell r="AV63">
            <v>321.12235649999997</v>
          </cell>
        </row>
        <row r="64">
          <cell r="AV64">
            <v>-7415.9067653973325</v>
          </cell>
        </row>
        <row r="69">
          <cell r="AV69">
            <v>210.67200000000003</v>
          </cell>
        </row>
        <row r="70">
          <cell r="AV70">
            <v>-30194</v>
          </cell>
        </row>
        <row r="75">
          <cell r="AT75">
            <v>0</v>
          </cell>
        </row>
        <row r="76">
          <cell r="AV76">
            <v>-99102.13923042596</v>
          </cell>
        </row>
        <row r="77">
          <cell r="AT77">
            <v>0</v>
          </cell>
        </row>
        <row r="78">
          <cell r="AT78">
            <v>0</v>
          </cell>
        </row>
        <row r="79">
          <cell r="AT79">
            <v>0</v>
          </cell>
        </row>
        <row r="80">
          <cell r="AT80">
            <v>35640.122</v>
          </cell>
        </row>
        <row r="81">
          <cell r="AT81">
            <v>0</v>
          </cell>
        </row>
        <row r="83">
          <cell r="AV83">
            <v>0</v>
          </cell>
        </row>
        <row r="84">
          <cell r="AV84">
            <v>0</v>
          </cell>
        </row>
        <row r="85">
          <cell r="AT85">
            <v>-4503</v>
          </cell>
        </row>
        <row r="87">
          <cell r="AT87">
            <v>2851.596</v>
          </cell>
        </row>
        <row r="91">
          <cell r="AT91">
            <v>0</v>
          </cell>
        </row>
        <row r="94">
          <cell r="AT94">
            <v>0</v>
          </cell>
        </row>
        <row r="95">
          <cell r="AT95">
            <v>-16</v>
          </cell>
        </row>
        <row r="96">
          <cell r="AT96">
            <v>20000</v>
          </cell>
        </row>
        <row r="97">
          <cell r="AT97">
            <v>0</v>
          </cell>
        </row>
        <row r="98">
          <cell r="AT98">
            <v>126312</v>
          </cell>
        </row>
        <row r="99">
          <cell r="AT99">
            <v>0</v>
          </cell>
        </row>
        <row r="105">
          <cell r="AV105">
            <v>0</v>
          </cell>
        </row>
        <row r="107">
          <cell r="AT107">
            <v>57319</v>
          </cell>
        </row>
        <row r="111">
          <cell r="AD111">
            <v>46167.188274</v>
          </cell>
          <cell r="AE111">
            <v>42341.40141</v>
          </cell>
          <cell r="AO111">
            <v>-8365.93109064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9"/>
  <sheetViews>
    <sheetView showGridLines="0" zoomScale="75" zoomScaleNormal="75" workbookViewId="0" topLeftCell="A25">
      <selection activeCell="C21" sqref="C21"/>
    </sheetView>
  </sheetViews>
  <sheetFormatPr defaultColWidth="9.140625" defaultRowHeight="12.75"/>
  <cols>
    <col min="1" max="1" width="2.8515625" style="1" customWidth="1"/>
    <col min="2" max="2" width="37.57421875" style="1" customWidth="1"/>
    <col min="3" max="3" width="21.00390625" style="1" customWidth="1"/>
    <col min="4" max="4" width="2.00390625" style="2" customWidth="1"/>
    <col min="5" max="5" width="19.140625" style="1" customWidth="1"/>
    <col min="6" max="6" width="2.8515625" style="2" customWidth="1"/>
    <col min="7" max="7" width="22.140625" style="1" customWidth="1"/>
    <col min="8" max="8" width="2.140625" style="2" customWidth="1"/>
    <col min="9" max="9" width="18.57421875" style="1" customWidth="1"/>
    <col min="10" max="10" width="3.421875" style="1" customWidth="1"/>
    <col min="11" max="16384" width="9.140625" style="1" customWidth="1"/>
  </cols>
  <sheetData>
    <row r="1" ht="12.75" customHeight="1">
      <c r="I1" s="112"/>
    </row>
    <row r="2" spans="2:9" ht="12.75">
      <c r="B2" s="3" t="s">
        <v>0</v>
      </c>
      <c r="I2" s="112"/>
    </row>
    <row r="3" spans="2:9" ht="12.75">
      <c r="B3" s="3" t="s">
        <v>1</v>
      </c>
      <c r="I3" s="112"/>
    </row>
    <row r="4" spans="2:9" ht="12.75">
      <c r="B4" s="110" t="s">
        <v>139</v>
      </c>
      <c r="C4" s="110"/>
      <c r="I4" s="112"/>
    </row>
    <row r="5" spans="2:9" ht="12.75">
      <c r="B5" s="3" t="s">
        <v>141</v>
      </c>
      <c r="I5" s="112"/>
    </row>
    <row r="6" ht="7.5" customHeight="1"/>
    <row r="7" ht="12.75">
      <c r="B7" s="4" t="s">
        <v>140</v>
      </c>
    </row>
    <row r="8" ht="12.75">
      <c r="B8" s="3"/>
    </row>
    <row r="9" ht="12.75">
      <c r="B9" s="3" t="s">
        <v>90</v>
      </c>
    </row>
    <row r="10" ht="12.75">
      <c r="B10" s="3" t="s">
        <v>2</v>
      </c>
    </row>
    <row r="11" ht="12.75">
      <c r="B11" s="3"/>
    </row>
    <row r="12" spans="3:9" s="2" customFormat="1" ht="12.75">
      <c r="C12" s="111" t="s">
        <v>3</v>
      </c>
      <c r="D12" s="111"/>
      <c r="E12" s="111"/>
      <c r="F12" s="5"/>
      <c r="G12" s="111" t="s">
        <v>4</v>
      </c>
      <c r="H12" s="111"/>
      <c r="I12" s="111"/>
    </row>
    <row r="13" spans="3:9" s="2" customFormat="1" ht="12.75">
      <c r="C13" s="5"/>
      <c r="D13" s="5"/>
      <c r="E13" s="5"/>
      <c r="F13" s="5"/>
      <c r="G13" s="5"/>
      <c r="H13" s="5"/>
      <c r="I13" s="7"/>
    </row>
    <row r="14" spans="2:9" s="2" customFormat="1" ht="12.75">
      <c r="B14" s="6"/>
      <c r="C14" s="7"/>
      <c r="D14" s="7"/>
      <c r="E14" s="7" t="s">
        <v>6</v>
      </c>
      <c r="F14" s="7"/>
      <c r="G14" s="7" t="s">
        <v>5</v>
      </c>
      <c r="H14" s="7"/>
      <c r="I14" s="7" t="s">
        <v>6</v>
      </c>
    </row>
    <row r="15" spans="2:9" s="2" customFormat="1" ht="12.75">
      <c r="B15" s="6"/>
      <c r="C15" s="7" t="s">
        <v>5</v>
      </c>
      <c r="D15" s="7"/>
      <c r="E15" s="7" t="s">
        <v>7</v>
      </c>
      <c r="F15" s="7"/>
      <c r="G15" s="7" t="s">
        <v>97</v>
      </c>
      <c r="H15" s="7"/>
      <c r="I15" s="7" t="s">
        <v>7</v>
      </c>
    </row>
    <row r="16" spans="2:9" s="2" customFormat="1" ht="12.75">
      <c r="B16" s="7" t="s">
        <v>8</v>
      </c>
      <c r="C16" s="7" t="s">
        <v>9</v>
      </c>
      <c r="D16" s="7"/>
      <c r="E16" s="7" t="s">
        <v>9</v>
      </c>
      <c r="F16" s="7"/>
      <c r="G16" s="7" t="s">
        <v>10</v>
      </c>
      <c r="H16" s="7"/>
      <c r="I16" s="7" t="s">
        <v>9</v>
      </c>
    </row>
    <row r="17" spans="2:10" s="2" customFormat="1" ht="12.75">
      <c r="B17" s="6"/>
      <c r="C17" s="8" t="s">
        <v>143</v>
      </c>
      <c r="D17" s="8"/>
      <c r="E17" s="8" t="s">
        <v>142</v>
      </c>
      <c r="F17" s="8"/>
      <c r="G17" s="8" t="str">
        <f>C17</f>
        <v>30/6/2005</v>
      </c>
      <c r="H17" s="8"/>
      <c r="I17" s="8" t="str">
        <f>E17</f>
        <v>30/6/2004</v>
      </c>
      <c r="J17" s="8"/>
    </row>
    <row r="18" spans="2:10" s="2" customFormat="1" ht="13.5" customHeight="1">
      <c r="B18" s="6"/>
      <c r="C18" s="7" t="s">
        <v>11</v>
      </c>
      <c r="D18" s="62"/>
      <c r="E18" s="7" t="s">
        <v>11</v>
      </c>
      <c r="F18" s="62"/>
      <c r="G18" s="7" t="s">
        <v>12</v>
      </c>
      <c r="H18" s="62"/>
      <c r="I18" s="7" t="s">
        <v>12</v>
      </c>
      <c r="J18" s="62"/>
    </row>
    <row r="19" spans="2:10" s="2" customFormat="1" ht="12.75">
      <c r="B19" s="9" t="s">
        <v>13</v>
      </c>
      <c r="C19" s="10">
        <f>G19-192167</f>
        <v>259658.33415311662</v>
      </c>
      <c r="D19" s="63"/>
      <c r="E19" s="10">
        <f>194803</f>
        <v>194803</v>
      </c>
      <c r="F19" s="63"/>
      <c r="G19" s="10">
        <f>'[5]WSCPL'!$U$7</f>
        <v>451825.3341531166</v>
      </c>
      <c r="H19" s="63"/>
      <c r="I19" s="10">
        <f>383125</f>
        <v>383125</v>
      </c>
      <c r="J19" s="63"/>
    </row>
    <row r="20" spans="2:9" s="2" customFormat="1" ht="12.75">
      <c r="B20" s="9"/>
      <c r="C20" s="10"/>
      <c r="D20" s="10"/>
      <c r="E20" s="10"/>
      <c r="F20" s="10"/>
      <c r="G20" s="10"/>
      <c r="H20" s="10"/>
      <c r="I20" s="10"/>
    </row>
    <row r="21" spans="2:9" s="2" customFormat="1" ht="12.75">
      <c r="B21" s="9" t="s">
        <v>14</v>
      </c>
      <c r="C21" s="10">
        <f>G21-(-176180)</f>
        <v>-234905.70502836746</v>
      </c>
      <c r="D21" s="10"/>
      <c r="E21" s="10">
        <f>-180605</f>
        <v>-180605</v>
      </c>
      <c r="F21" s="10"/>
      <c r="G21" s="10">
        <f>SUM('[5]WSCPL'!$U$12,'[5]WSCPL'!$U$19,'[5]WSCPL'!$U$21,'[5]WSCPL'!$U$22)</f>
        <v>-411085.70502836746</v>
      </c>
      <c r="H21" s="10"/>
      <c r="I21" s="10">
        <f>-347018</f>
        <v>-347018</v>
      </c>
    </row>
    <row r="22" spans="2:9" s="2" customFormat="1" ht="12.75">
      <c r="B22" s="9"/>
      <c r="C22" s="10"/>
      <c r="D22" s="10"/>
      <c r="E22" s="10"/>
      <c r="F22" s="10"/>
      <c r="G22" s="10"/>
      <c r="H22" s="10"/>
      <c r="I22" s="10"/>
    </row>
    <row r="23" spans="2:9" s="2" customFormat="1" ht="12.75">
      <c r="B23" s="9" t="s">
        <v>115</v>
      </c>
      <c r="C23" s="10">
        <f>G23-3777</f>
        <v>1460.486538207333</v>
      </c>
      <c r="D23" s="10"/>
      <c r="E23" s="11">
        <f>3288</f>
        <v>3288</v>
      </c>
      <c r="F23" s="10"/>
      <c r="G23" s="10">
        <f>'[5]WSCPL'!$U$16</f>
        <v>5237.486538207333</v>
      </c>
      <c r="H23" s="10"/>
      <c r="I23" s="11">
        <f>4866</f>
        <v>4866</v>
      </c>
    </row>
    <row r="24" spans="2:9" s="2" customFormat="1" ht="12.75">
      <c r="B24" s="9"/>
      <c r="C24" s="12"/>
      <c r="D24" s="10"/>
      <c r="E24" s="12"/>
      <c r="F24" s="10"/>
      <c r="G24" s="12"/>
      <c r="H24" s="10"/>
      <c r="I24" s="12"/>
    </row>
    <row r="25" spans="2:10" s="2" customFormat="1" ht="12.75">
      <c r="B25" s="9" t="s">
        <v>15</v>
      </c>
      <c r="C25" s="10">
        <f>SUM(C19:C24)-1</f>
        <v>26212.115662956494</v>
      </c>
      <c r="D25" s="10"/>
      <c r="E25" s="10">
        <f>SUM(E19:E24)</f>
        <v>17486</v>
      </c>
      <c r="F25" s="63"/>
      <c r="G25" s="10">
        <f>SUM(G19:G24)-1</f>
        <v>45976.115662956494</v>
      </c>
      <c r="H25" s="10"/>
      <c r="I25" s="10">
        <f>SUM(I19:I24)</f>
        <v>40973</v>
      </c>
      <c r="J25" s="63"/>
    </row>
    <row r="26" spans="2:9" s="2" customFormat="1" ht="12.75">
      <c r="B26" s="9"/>
      <c r="C26" s="10"/>
      <c r="D26" s="10"/>
      <c r="E26" s="10"/>
      <c r="F26" s="10"/>
      <c r="G26" s="10"/>
      <c r="H26" s="10"/>
      <c r="I26" s="10"/>
    </row>
    <row r="27" spans="2:9" s="2" customFormat="1" ht="12.75">
      <c r="B27" s="9" t="s">
        <v>116</v>
      </c>
      <c r="C27" s="10">
        <f>G27-(-3550)</f>
        <v>-3865.9067653973325</v>
      </c>
      <c r="D27" s="10"/>
      <c r="E27" s="10">
        <f>-2382</f>
        <v>-2382</v>
      </c>
      <c r="F27" s="10"/>
      <c r="G27" s="10">
        <f>'[5]WSCPL'!$U$30</f>
        <v>-7415.9067653973325</v>
      </c>
      <c r="H27" s="10"/>
      <c r="I27" s="10">
        <f>-4371</f>
        <v>-4371</v>
      </c>
    </row>
    <row r="28" spans="2:9" s="2" customFormat="1" ht="12.75">
      <c r="B28" s="9"/>
      <c r="C28" s="10"/>
      <c r="D28" s="10"/>
      <c r="E28" s="10"/>
      <c r="F28" s="10"/>
      <c r="G28" s="10"/>
      <c r="H28" s="10"/>
      <c r="I28" s="10"/>
    </row>
    <row r="29" spans="2:9" s="2" customFormat="1" ht="12.75">
      <c r="B29" s="9" t="s">
        <v>17</v>
      </c>
      <c r="C29" s="10">
        <f>G29-(-270)</f>
        <v>17410.924080386667</v>
      </c>
      <c r="D29" s="10"/>
      <c r="E29" s="10">
        <f>54</f>
        <v>54</v>
      </c>
      <c r="F29" s="10"/>
      <c r="G29" s="10">
        <f>'[5]WSCPL'!$U$32</f>
        <v>17140.924080386667</v>
      </c>
      <c r="H29" s="10"/>
      <c r="I29" s="10">
        <f>-65</f>
        <v>-65</v>
      </c>
    </row>
    <row r="30" spans="2:9" s="2" customFormat="1" ht="12.75">
      <c r="B30" s="9"/>
      <c r="C30" s="10"/>
      <c r="D30" s="10"/>
      <c r="E30" s="10"/>
      <c r="F30" s="10"/>
      <c r="G30" s="10"/>
      <c r="H30" s="10"/>
      <c r="I30" s="10"/>
    </row>
    <row r="31" spans="2:9" s="2" customFormat="1" ht="12.75">
      <c r="B31" s="9" t="s">
        <v>121</v>
      </c>
      <c r="C31" s="10">
        <f>G31</f>
        <v>9099.881205082875</v>
      </c>
      <c r="D31" s="10"/>
      <c r="E31" s="10">
        <f>I31</f>
        <v>0</v>
      </c>
      <c r="F31" s="10"/>
      <c r="G31" s="10">
        <f>'[5]WSCPL'!$U$34</f>
        <v>9099.881205082875</v>
      </c>
      <c r="H31" s="10"/>
      <c r="I31" s="10">
        <f>0</f>
        <v>0</v>
      </c>
    </row>
    <row r="32" spans="2:9" s="2" customFormat="1" ht="12.75">
      <c r="B32" s="9"/>
      <c r="C32" s="12"/>
      <c r="D32" s="10"/>
      <c r="E32" s="16"/>
      <c r="F32" s="10"/>
      <c r="G32" s="12"/>
      <c r="H32" s="10"/>
      <c r="I32" s="12"/>
    </row>
    <row r="33" spans="2:10" s="2" customFormat="1" ht="12.75">
      <c r="B33" s="9" t="s">
        <v>87</v>
      </c>
      <c r="C33" s="10">
        <f>+C25+C27+C29+C31</f>
        <v>48857.0141830287</v>
      </c>
      <c r="D33" s="10"/>
      <c r="E33" s="10">
        <f>+E25+E27+E29+E31</f>
        <v>15158</v>
      </c>
      <c r="F33" s="63"/>
      <c r="G33" s="10">
        <f>+G25+G27+G29+G31</f>
        <v>64801.0141830287</v>
      </c>
      <c r="H33" s="10"/>
      <c r="I33" s="10">
        <f>+I25+I27+I29+I31</f>
        <v>36537</v>
      </c>
      <c r="J33" s="63"/>
    </row>
    <row r="34" spans="2:9" s="2" customFormat="1" ht="12.75">
      <c r="B34" s="9"/>
      <c r="C34" s="10"/>
      <c r="D34" s="10"/>
      <c r="E34" s="10"/>
      <c r="F34" s="10"/>
      <c r="G34" s="10"/>
      <c r="H34" s="10"/>
      <c r="I34" s="10"/>
    </row>
    <row r="35" spans="2:9" s="2" customFormat="1" ht="12.75">
      <c r="B35" s="9" t="s">
        <v>18</v>
      </c>
      <c r="C35" s="12">
        <f>G35-(-3783)</f>
        <v>-7445.981087738666</v>
      </c>
      <c r="D35" s="10"/>
      <c r="E35" s="12">
        <f>-3824</f>
        <v>-3824</v>
      </c>
      <c r="F35" s="10"/>
      <c r="G35" s="12">
        <f>SUM('[5]WSCPL'!$U$42:$U$45)</f>
        <v>-11228.981087738666</v>
      </c>
      <c r="H35" s="10"/>
      <c r="I35" s="12">
        <f>-6434</f>
        <v>-6434</v>
      </c>
    </row>
    <row r="36" spans="2:10" s="2" customFormat="1" ht="22.5" customHeight="1">
      <c r="B36" s="9" t="s">
        <v>19</v>
      </c>
      <c r="C36" s="10">
        <f>C33+C35</f>
        <v>41411.03309529004</v>
      </c>
      <c r="D36" s="10"/>
      <c r="E36" s="10">
        <f>+E33+E35</f>
        <v>11334</v>
      </c>
      <c r="F36" s="63"/>
      <c r="G36" s="10">
        <f>G33+G35</f>
        <v>53572.03309529004</v>
      </c>
      <c r="H36" s="10"/>
      <c r="I36" s="10">
        <f>+I33+I35</f>
        <v>30103</v>
      </c>
      <c r="J36" s="63"/>
    </row>
    <row r="37" spans="2:9" s="2" customFormat="1" ht="12.75">
      <c r="B37" s="9"/>
      <c r="C37" s="10"/>
      <c r="D37" s="10"/>
      <c r="E37" s="10"/>
      <c r="F37" s="10"/>
      <c r="G37" s="10"/>
      <c r="H37" s="10"/>
      <c r="I37" s="10"/>
    </row>
    <row r="38" spans="2:9" s="2" customFormat="1" ht="12.75">
      <c r="B38" s="17" t="s">
        <v>20</v>
      </c>
      <c r="C38" s="10">
        <f>G38</f>
        <v>0</v>
      </c>
      <c r="D38" s="10"/>
      <c r="E38" s="10">
        <f>0</f>
        <v>0</v>
      </c>
      <c r="F38" s="10"/>
      <c r="G38" s="10">
        <f>0</f>
        <v>0</v>
      </c>
      <c r="H38" s="10"/>
      <c r="I38" s="10">
        <f>0</f>
        <v>0</v>
      </c>
    </row>
    <row r="39" spans="2:9" s="2" customFormat="1" ht="12.75">
      <c r="B39" s="17"/>
      <c r="C39" s="10"/>
      <c r="D39" s="10"/>
      <c r="E39" s="10"/>
      <c r="F39" s="10"/>
      <c r="G39" s="10"/>
      <c r="H39" s="10"/>
      <c r="I39" s="10"/>
    </row>
    <row r="40" spans="2:9" s="2" customFormat="1" ht="12.75">
      <c r="B40" s="17" t="s">
        <v>21</v>
      </c>
      <c r="C40" s="10">
        <f>G40-(-4820)</f>
        <v>-10803.66560558364</v>
      </c>
      <c r="D40" s="10"/>
      <c r="E40" s="10">
        <f>778-3983</f>
        <v>-3205</v>
      </c>
      <c r="F40" s="10"/>
      <c r="G40" s="10">
        <f>'[5]WSCPL'!$U$51</f>
        <v>-15623.66560558364</v>
      </c>
      <c r="H40" s="10"/>
      <c r="I40" s="10">
        <f>-10750-3983</f>
        <v>-14733</v>
      </c>
    </row>
    <row r="41" spans="2:9" s="2" customFormat="1" ht="12.75">
      <c r="B41" s="17"/>
      <c r="C41" s="12"/>
      <c r="D41" s="10"/>
      <c r="E41" s="12"/>
      <c r="F41" s="10"/>
      <c r="G41" s="12"/>
      <c r="H41" s="10"/>
      <c r="I41" s="12"/>
    </row>
    <row r="42" spans="2:10" s="2" customFormat="1" ht="13.5" thickBot="1">
      <c r="B42" s="17" t="s">
        <v>22</v>
      </c>
      <c r="C42" s="18">
        <f>+C36+C38+C40</f>
        <v>30607.3674897064</v>
      </c>
      <c r="D42" s="10"/>
      <c r="E42" s="18">
        <f>+E36+E38+E40</f>
        <v>8129</v>
      </c>
      <c r="F42" s="63"/>
      <c r="G42" s="18">
        <f>+G36+G38+G40</f>
        <v>37948.367489706405</v>
      </c>
      <c r="H42" s="10"/>
      <c r="I42" s="18">
        <f>+I36+I38+I40</f>
        <v>15370</v>
      </c>
      <c r="J42" s="63"/>
    </row>
    <row r="43" spans="2:9" s="2" customFormat="1" ht="13.5" thickTop="1">
      <c r="B43" s="17"/>
      <c r="C43" s="10"/>
      <c r="D43" s="10"/>
      <c r="E43" s="10"/>
      <c r="F43" s="10"/>
      <c r="G43" s="10"/>
      <c r="H43" s="10"/>
      <c r="I43" s="10"/>
    </row>
    <row r="44" spans="2:9" s="2" customFormat="1" ht="12.75">
      <c r="B44" s="17"/>
      <c r="C44" s="10"/>
      <c r="D44" s="10"/>
      <c r="E44" s="10"/>
      <c r="F44" s="10"/>
      <c r="G44" s="10"/>
      <c r="H44" s="10"/>
      <c r="I44" s="10"/>
    </row>
    <row r="45" spans="2:9" s="2" customFormat="1" ht="12.75">
      <c r="B45" s="17" t="s">
        <v>106</v>
      </c>
      <c r="C45" s="19">
        <f>(C42/345045*100)</f>
        <v>8.870543694215653</v>
      </c>
      <c r="D45" s="19"/>
      <c r="E45" s="19">
        <f>2.4</f>
        <v>2.4</v>
      </c>
      <c r="F45" s="19"/>
      <c r="G45" s="19">
        <f>G42/345045*100</f>
        <v>10.998092274835573</v>
      </c>
      <c r="H45" s="20"/>
      <c r="I45" s="19">
        <f>3.2</f>
        <v>3.2</v>
      </c>
    </row>
    <row r="46" spans="2:9" s="2" customFormat="1" ht="12.75">
      <c r="B46" s="21" t="s">
        <v>107</v>
      </c>
      <c r="C46" s="19">
        <f>((C42+735)/482467*100)</f>
        <v>6.496271763603811</v>
      </c>
      <c r="D46" s="19"/>
      <c r="E46" s="19">
        <f>1.8</f>
        <v>1.8</v>
      </c>
      <c r="F46" s="19"/>
      <c r="G46" s="19">
        <f>(G42+735)/482467*100</f>
        <v>8.017826605696639</v>
      </c>
      <c r="H46" s="20"/>
      <c r="I46" s="19">
        <f>2.2</f>
        <v>2.2</v>
      </c>
    </row>
    <row r="47" spans="2:9" s="2" customFormat="1" ht="12.75">
      <c r="B47" s="21"/>
      <c r="C47" s="11"/>
      <c r="D47" s="11"/>
      <c r="E47" s="11"/>
      <c r="F47" s="11"/>
      <c r="G47" s="11"/>
      <c r="H47" s="11"/>
      <c r="I47" s="11"/>
    </row>
    <row r="48" spans="2:9" s="2" customFormat="1" ht="12.75">
      <c r="B48" s="113" t="s">
        <v>126</v>
      </c>
      <c r="C48" s="113"/>
      <c r="D48" s="113"/>
      <c r="E48" s="113"/>
      <c r="F48" s="113"/>
      <c r="G48" s="113"/>
      <c r="H48" s="113"/>
      <c r="I48" s="113"/>
    </row>
    <row r="49" spans="2:9" s="2" customFormat="1" ht="12.75">
      <c r="B49" s="22"/>
      <c r="C49" s="22"/>
      <c r="D49" s="22"/>
      <c r="E49" s="22"/>
      <c r="F49" s="22"/>
      <c r="G49" s="22"/>
      <c r="H49" s="22"/>
      <c r="I49" s="22"/>
    </row>
  </sheetData>
  <sheetProtection password="EF0E" sheet="1" objects="1" scenarios="1"/>
  <mergeCells count="5">
    <mergeCell ref="B4:C4"/>
    <mergeCell ref="C12:E12"/>
    <mergeCell ref="I1:I5"/>
    <mergeCell ref="B48:I48"/>
    <mergeCell ref="G12:I12"/>
  </mergeCells>
  <printOptions/>
  <pageMargins left="0.25" right="0.25" top="0.25" bottom="0.25" header="0.511811023622047" footer="0.4"/>
  <pageSetup cellComments="asDisplayed"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78"/>
  <sheetViews>
    <sheetView showGridLines="0" workbookViewId="0" topLeftCell="A64">
      <selection activeCell="C29" sqref="C29"/>
    </sheetView>
  </sheetViews>
  <sheetFormatPr defaultColWidth="9.140625" defaultRowHeight="12.75"/>
  <cols>
    <col min="1" max="1" width="2.140625" style="25" customWidth="1"/>
    <col min="2" max="2" width="37.7109375" style="25" customWidth="1"/>
    <col min="3" max="3" width="17.7109375" style="25" customWidth="1"/>
    <col min="4" max="4" width="3.7109375" style="25" customWidth="1"/>
    <col min="5" max="5" width="18.7109375" style="25" customWidth="1"/>
    <col min="6" max="16384" width="9.140625" style="25" customWidth="1"/>
  </cols>
  <sheetData>
    <row r="2" spans="2:4" s="1" customFormat="1" ht="12.75">
      <c r="B2" s="23" t="str">
        <f>IncomeStatement!B2</f>
        <v>Company name      : WAH SEONG CORPORATION BERHAD (Company No. 495846-A)</v>
      </c>
      <c r="C2" s="23"/>
      <c r="D2" s="23"/>
    </row>
    <row r="3" spans="2:4" s="1" customFormat="1" ht="12.75">
      <c r="B3" s="23" t="str">
        <f>IncomeStatement!B3</f>
        <v>Stock name            : WASEONG</v>
      </c>
      <c r="C3" s="23"/>
      <c r="D3" s="23"/>
    </row>
    <row r="4" s="1" customFormat="1" ht="12.75">
      <c r="B4" s="24" t="str">
        <f>IncomeStatement!B4</f>
        <v>Financial Period Ended: 30 June 2005</v>
      </c>
    </row>
    <row r="5" s="1" customFormat="1" ht="12.75">
      <c r="B5" s="23" t="str">
        <f>IncomeStatement!B5</f>
        <v>Quarter                   : 2</v>
      </c>
    </row>
    <row r="6" s="1" customFormat="1" ht="12.75">
      <c r="B6" s="23"/>
    </row>
    <row r="7" spans="2:6" s="1" customFormat="1" ht="12.75">
      <c r="B7" s="114" t="str">
        <f>B4</f>
        <v>Financial Period Ended: 30 June 2005</v>
      </c>
      <c r="C7" s="114"/>
      <c r="D7" s="114"/>
      <c r="E7" s="114"/>
      <c r="F7" s="114"/>
    </row>
    <row r="8" s="1" customFormat="1" ht="12.75">
      <c r="B8" s="23" t="s">
        <v>23</v>
      </c>
    </row>
    <row r="9" ht="6.75" customHeight="1"/>
    <row r="10" s="27" customFormat="1" ht="12.75">
      <c r="B10" s="26" t="s">
        <v>24</v>
      </c>
    </row>
    <row r="11" ht="12.75" customHeight="1">
      <c r="E11" s="64" t="s">
        <v>123</v>
      </c>
    </row>
    <row r="12" spans="2:5" ht="12.75">
      <c r="B12" s="28"/>
      <c r="C12" s="7" t="s">
        <v>25</v>
      </c>
      <c r="D12" s="7"/>
      <c r="E12" s="7" t="s">
        <v>26</v>
      </c>
    </row>
    <row r="13" spans="2:5" ht="12.75">
      <c r="B13" s="7" t="s">
        <v>8</v>
      </c>
      <c r="C13" s="7" t="s">
        <v>27</v>
      </c>
      <c r="D13" s="7"/>
      <c r="E13" s="7" t="s">
        <v>28</v>
      </c>
    </row>
    <row r="14" spans="2:5" ht="12.75">
      <c r="B14" s="7"/>
      <c r="C14" s="7"/>
      <c r="D14" s="7"/>
      <c r="E14" s="7" t="s">
        <v>29</v>
      </c>
    </row>
    <row r="15" spans="2:5" ht="12.75">
      <c r="B15" s="28"/>
      <c r="C15" s="8" t="str">
        <f>+IncomeStatement!C17</f>
        <v>30/6/2005</v>
      </c>
      <c r="D15" s="7"/>
      <c r="E15" s="8">
        <v>38352</v>
      </c>
    </row>
    <row r="16" spans="2:5" ht="12.75">
      <c r="B16" s="28"/>
      <c r="C16" s="29" t="s">
        <v>12</v>
      </c>
      <c r="D16" s="29"/>
      <c r="E16" s="29" t="s">
        <v>12</v>
      </c>
    </row>
    <row r="17" spans="2:5" ht="12.75">
      <c r="B17" s="2" t="s">
        <v>30</v>
      </c>
      <c r="C17" s="10">
        <f>'[6]WSCBS'!$R$39</f>
        <v>343594.97467424005</v>
      </c>
      <c r="D17" s="30"/>
      <c r="E17" s="10">
        <f>242482</f>
        <v>242482</v>
      </c>
    </row>
    <row r="18" spans="2:5" ht="12.75">
      <c r="B18" s="28"/>
      <c r="C18" s="10"/>
      <c r="D18" s="31"/>
      <c r="E18" s="10"/>
    </row>
    <row r="19" spans="2:5" ht="12.75">
      <c r="B19" s="2" t="s">
        <v>31</v>
      </c>
      <c r="C19" s="10">
        <f>'[6]WSCBS'!$R$46</f>
        <v>40119.02959212</v>
      </c>
      <c r="D19" s="31"/>
      <c r="E19" s="10">
        <f>24324</f>
        <v>24324</v>
      </c>
    </row>
    <row r="20" spans="2:5" ht="12.75">
      <c r="B20" s="28"/>
      <c r="C20" s="10"/>
      <c r="D20" s="31"/>
      <c r="E20" s="10"/>
    </row>
    <row r="21" spans="2:5" ht="12.75">
      <c r="B21" s="2" t="s">
        <v>32</v>
      </c>
      <c r="C21" s="10">
        <f>SUM('[6]WSCBS'!$R$48)-'[6]WSCBS'!$R$22</f>
        <v>95715.80824892991</v>
      </c>
      <c r="D21" s="31"/>
      <c r="E21" s="10">
        <f>57965</f>
        <v>57965</v>
      </c>
    </row>
    <row r="22" spans="2:5" ht="12.75">
      <c r="B22" s="2"/>
      <c r="C22" s="10"/>
      <c r="D22" s="31"/>
      <c r="E22" s="10"/>
    </row>
    <row r="23" spans="2:5" ht="12.75">
      <c r="B23" s="2" t="s">
        <v>96</v>
      </c>
      <c r="C23" s="10">
        <f>'[6]WSCBS'!$R$41</f>
        <v>40.095</v>
      </c>
      <c r="D23" s="31"/>
      <c r="E23" s="10">
        <f>47</f>
        <v>47</v>
      </c>
    </row>
    <row r="24" spans="2:5" ht="12.75">
      <c r="B24" s="28"/>
      <c r="C24" s="10"/>
      <c r="D24" s="31"/>
      <c r="E24" s="10"/>
    </row>
    <row r="25" spans="2:5" ht="12.75">
      <c r="B25" s="2" t="s">
        <v>33</v>
      </c>
      <c r="C25" s="10">
        <f>'[6]WSCBS'!$R$53</f>
        <v>3859.2691608</v>
      </c>
      <c r="D25" s="31"/>
      <c r="E25" s="10">
        <f>2537</f>
        <v>2537</v>
      </c>
    </row>
    <row r="26" spans="2:5" ht="12.75" hidden="1">
      <c r="B26" s="2"/>
      <c r="C26" s="10"/>
      <c r="D26" s="31"/>
      <c r="E26" s="10"/>
    </row>
    <row r="27" spans="2:5" ht="12.75" hidden="1">
      <c r="B27" s="2" t="s">
        <v>100</v>
      </c>
      <c r="C27" s="10">
        <f>0</f>
        <v>0</v>
      </c>
      <c r="D27" s="31"/>
      <c r="E27" s="10">
        <f>0</f>
        <v>0</v>
      </c>
    </row>
    <row r="28" spans="2:5" ht="12.75">
      <c r="B28" s="2"/>
      <c r="C28" s="10"/>
      <c r="D28" s="31"/>
      <c r="E28" s="10"/>
    </row>
    <row r="29" spans="2:5" ht="12.75">
      <c r="B29" s="2" t="s">
        <v>92</v>
      </c>
      <c r="C29" s="10">
        <f>'[6]WSCBS'!$R$55-1</f>
        <v>4157.521</v>
      </c>
      <c r="D29" s="31"/>
      <c r="E29" s="10">
        <f>4158</f>
        <v>4158</v>
      </c>
    </row>
    <row r="30" spans="2:5" ht="12.75">
      <c r="B30" s="2"/>
      <c r="C30" s="10"/>
      <c r="D30" s="31"/>
      <c r="E30" s="10"/>
    </row>
    <row r="31" spans="2:5" ht="12.75">
      <c r="B31" s="2" t="s">
        <v>34</v>
      </c>
      <c r="C31" s="10"/>
      <c r="D31" s="31"/>
      <c r="E31" s="10"/>
    </row>
    <row r="32" spans="2:5" ht="12.75">
      <c r="B32" s="2" t="s">
        <v>35</v>
      </c>
      <c r="C32" s="13">
        <f>'[6]WSCBS'!$R$58</f>
        <v>174529.7375637</v>
      </c>
      <c r="D32" s="30"/>
      <c r="E32" s="32">
        <f>133833</f>
        <v>133833</v>
      </c>
    </row>
    <row r="33" spans="2:5" ht="12.75">
      <c r="B33" s="33" t="s">
        <v>36</v>
      </c>
      <c r="C33" s="69">
        <f>'[6]WSCBS'!$R$59</f>
        <v>338491.19220734</v>
      </c>
      <c r="D33" s="30"/>
      <c r="E33" s="34">
        <f>177845</f>
        <v>177845</v>
      </c>
    </row>
    <row r="34" spans="2:5" ht="12.75">
      <c r="B34" s="33" t="s">
        <v>108</v>
      </c>
      <c r="C34" s="14">
        <f>'[6]WSCBS'!$R$62</f>
        <v>3217.716</v>
      </c>
      <c r="D34" s="30"/>
      <c r="E34" s="34">
        <f>7713</f>
        <v>7713</v>
      </c>
    </row>
    <row r="35" spans="2:5" ht="12.75">
      <c r="B35" s="33" t="s">
        <v>109</v>
      </c>
      <c r="C35" s="69">
        <f>'[6]WSCBS'!$R$60+(3)</f>
        <v>43168.381981259976</v>
      </c>
      <c r="D35" s="30"/>
      <c r="E35" s="34">
        <f>28230</f>
        <v>28230</v>
      </c>
    </row>
    <row r="36" spans="2:5" ht="12.75">
      <c r="B36" s="33" t="s">
        <v>125</v>
      </c>
      <c r="C36" s="14">
        <f>'[6]WSCBS'!$R$61</f>
        <v>10858.761977</v>
      </c>
      <c r="D36" s="30"/>
      <c r="E36" s="34">
        <f>12654</f>
        <v>12654</v>
      </c>
    </row>
    <row r="37" spans="2:5" ht="12.75">
      <c r="B37" s="33" t="s">
        <v>110</v>
      </c>
      <c r="C37" s="14">
        <f>'[6]WSCBS'!$R$69</f>
        <v>8724.1791108</v>
      </c>
      <c r="D37" s="30"/>
      <c r="E37" s="34">
        <f>7938</f>
        <v>7938</v>
      </c>
    </row>
    <row r="38" spans="2:5" ht="12.75">
      <c r="B38" s="33" t="s">
        <v>124</v>
      </c>
      <c r="C38" s="14">
        <f>'[6]WSCBS'!$R$70</f>
        <v>544.1000860000001</v>
      </c>
      <c r="D38" s="30"/>
      <c r="E38" s="34">
        <f>313</f>
        <v>313</v>
      </c>
    </row>
    <row r="39" spans="2:5" ht="12.75">
      <c r="B39" s="33" t="s">
        <v>37</v>
      </c>
      <c r="C39" s="14">
        <f>'[6]WSCBS'!$R$71</f>
        <v>46167.188274</v>
      </c>
      <c r="D39" s="30"/>
      <c r="E39" s="34">
        <f>28802</f>
        <v>28802</v>
      </c>
    </row>
    <row r="40" spans="2:5" ht="12.75">
      <c r="B40" s="33" t="s">
        <v>38</v>
      </c>
      <c r="C40" s="15">
        <f>'[6]WSCBS'!$R$72</f>
        <v>42341.40141</v>
      </c>
      <c r="D40" s="30"/>
      <c r="E40" s="35">
        <f>34111</f>
        <v>34111</v>
      </c>
    </row>
    <row r="41" spans="2:5" ht="12.75">
      <c r="B41" s="28"/>
      <c r="C41" s="10">
        <f>SUM(C32:C40)-1</f>
        <v>668041.6586101002</v>
      </c>
      <c r="D41" s="30"/>
      <c r="E41" s="10">
        <f>SUM(E32:E40)</f>
        <v>431439</v>
      </c>
    </row>
    <row r="42" spans="2:5" ht="12.75">
      <c r="B42" s="2" t="s">
        <v>39</v>
      </c>
      <c r="C42" s="10"/>
      <c r="D42" s="31"/>
      <c r="E42" s="10"/>
    </row>
    <row r="43" spans="2:5" ht="12.75">
      <c r="B43" s="33" t="s">
        <v>111</v>
      </c>
      <c r="C43" s="13">
        <f>'[5]WSCBS'!$R$78</f>
        <v>0</v>
      </c>
      <c r="D43" s="30"/>
      <c r="E43" s="32">
        <f>1032</f>
        <v>1032</v>
      </c>
    </row>
    <row r="44" spans="2:5" ht="12.75">
      <c r="B44" s="2" t="s">
        <v>40</v>
      </c>
      <c r="C44" s="14">
        <f>'[6]WSCBS'!$R$75</f>
        <v>99993.3691376</v>
      </c>
      <c r="D44" s="30"/>
      <c r="E44" s="34">
        <f>68105</f>
        <v>68105</v>
      </c>
    </row>
    <row r="45" spans="2:11" ht="12.75">
      <c r="B45" s="33" t="s">
        <v>94</v>
      </c>
      <c r="C45" s="14">
        <f>SUM('[6]WSCBS'!$R$76:$R$77)</f>
        <v>128292.672714876</v>
      </c>
      <c r="D45" s="30"/>
      <c r="E45" s="34">
        <f>57433+8207</f>
        <v>65640</v>
      </c>
      <c r="K45" s="67"/>
    </row>
    <row r="46" spans="2:5" ht="12.75">
      <c r="B46" s="33" t="s">
        <v>112</v>
      </c>
      <c r="C46" s="14">
        <f>'[5]WSCBS'!$R$85</f>
        <v>418.74</v>
      </c>
      <c r="D46" s="30"/>
      <c r="E46" s="34">
        <f>0</f>
        <v>0</v>
      </c>
    </row>
    <row r="47" spans="2:5" ht="12.75">
      <c r="B47" s="33" t="s">
        <v>41</v>
      </c>
      <c r="C47" s="14">
        <f>SUM('[5]WSCBS'!$R$88:$R$91)</f>
        <v>280880.27338944</v>
      </c>
      <c r="D47" s="30"/>
      <c r="E47" s="34">
        <f>65+103572</f>
        <v>103637</v>
      </c>
    </row>
    <row r="48" spans="2:5" ht="12.75">
      <c r="B48" s="2" t="s">
        <v>42</v>
      </c>
      <c r="C48" s="15">
        <f>'[5]WSCBS'!$R$92</f>
        <v>3833.60438</v>
      </c>
      <c r="D48" s="30"/>
      <c r="E48" s="35">
        <f>1007</f>
        <v>1007</v>
      </c>
    </row>
    <row r="49" spans="2:5" ht="12.75">
      <c r="B49" s="2"/>
      <c r="C49" s="10">
        <f>SUM(C43:C48)</f>
        <v>513418.65962191595</v>
      </c>
      <c r="D49" s="30"/>
      <c r="E49" s="10">
        <f>SUM(E43:E48)</f>
        <v>239421</v>
      </c>
    </row>
    <row r="50" spans="2:5" ht="12.75">
      <c r="B50" s="2"/>
      <c r="C50" s="10"/>
      <c r="D50" s="30"/>
      <c r="E50" s="10"/>
    </row>
    <row r="51" spans="2:5" ht="12.75">
      <c r="B51" s="2" t="s">
        <v>43</v>
      </c>
      <c r="C51" s="10">
        <f>+C41-C49</f>
        <v>154622.9989881842</v>
      </c>
      <c r="D51" s="30"/>
      <c r="E51" s="10">
        <f>+E41-E49</f>
        <v>192018</v>
      </c>
    </row>
    <row r="52" spans="2:5" ht="13.5" thickBot="1">
      <c r="B52" s="28"/>
      <c r="C52" s="66">
        <f>+C51+C17+C19+C25+C21+C27+C29+C23</f>
        <v>642109.6966642741</v>
      </c>
      <c r="D52" s="31"/>
      <c r="E52" s="18">
        <f>+E51+E17+E19+E25+E21+E29+E23</f>
        <v>523531</v>
      </c>
    </row>
    <row r="53" spans="2:5" ht="13.5" thickTop="1">
      <c r="B53" s="2" t="s">
        <v>44</v>
      </c>
      <c r="C53" s="10"/>
      <c r="D53" s="31"/>
      <c r="E53" s="10"/>
    </row>
    <row r="54" spans="2:5" ht="12.75">
      <c r="B54" s="2" t="s">
        <v>45</v>
      </c>
      <c r="C54" s="10">
        <f>'[5]WSCBS'!$R$5+1</f>
        <v>172523.48512680002</v>
      </c>
      <c r="D54" s="30"/>
      <c r="E54" s="10">
        <f>172523</f>
        <v>172523</v>
      </c>
    </row>
    <row r="55" spans="2:5" ht="12.75">
      <c r="B55" s="2" t="s">
        <v>46</v>
      </c>
      <c r="C55" s="10"/>
      <c r="D55" s="31"/>
      <c r="E55" s="10"/>
    </row>
    <row r="56" spans="2:5" ht="12.75">
      <c r="B56" s="2" t="s">
        <v>47</v>
      </c>
      <c r="C56" s="10">
        <f>'[5]WSCBS'!$R$8</f>
        <v>93.99699999999939</v>
      </c>
      <c r="D56" s="31"/>
      <c r="E56" s="10">
        <f>94</f>
        <v>94</v>
      </c>
    </row>
    <row r="57" spans="2:5" ht="12.75">
      <c r="B57" s="2" t="s">
        <v>48</v>
      </c>
      <c r="C57" s="10">
        <v>0</v>
      </c>
      <c r="D57" s="31"/>
      <c r="E57" s="10">
        <v>0</v>
      </c>
    </row>
    <row r="58" spans="2:5" ht="12.75">
      <c r="B58" s="2" t="s">
        <v>49</v>
      </c>
      <c r="C58" s="10">
        <f>0</f>
        <v>0</v>
      </c>
      <c r="D58" s="30"/>
      <c r="E58" s="10">
        <f>0</f>
        <v>0</v>
      </c>
    </row>
    <row r="59" spans="2:5" ht="12.75">
      <c r="B59" s="2" t="s">
        <v>50</v>
      </c>
      <c r="C59" s="10">
        <v>0</v>
      </c>
      <c r="D59" s="31"/>
      <c r="E59" s="10">
        <v>0</v>
      </c>
    </row>
    <row r="60" spans="2:5" ht="12.75">
      <c r="B60" s="2" t="s">
        <v>51</v>
      </c>
      <c r="C60" s="36">
        <f>'[5]WSCBS'!$R$21</f>
        <v>88690.74942655384</v>
      </c>
      <c r="D60" s="30"/>
      <c r="E60" s="36">
        <f>50743</f>
        <v>50743</v>
      </c>
    </row>
    <row r="61" spans="2:5" ht="12.75">
      <c r="B61" s="33" t="s">
        <v>52</v>
      </c>
      <c r="C61" s="37">
        <f>'[5]WSCBS'!$R$23</f>
        <v>-347.36891052</v>
      </c>
      <c r="D61" s="30"/>
      <c r="E61" s="37">
        <f>-343</f>
        <v>-343</v>
      </c>
    </row>
    <row r="62" spans="2:5" ht="12.75">
      <c r="B62" s="33"/>
      <c r="C62" s="36"/>
      <c r="D62" s="30"/>
      <c r="E62" s="36"/>
    </row>
    <row r="63" spans="2:5" ht="12.75">
      <c r="B63" s="2" t="s">
        <v>53</v>
      </c>
      <c r="C63" s="10">
        <f>SUM(C54:C61)</f>
        <v>260960.86264283388</v>
      </c>
      <c r="D63" s="28"/>
      <c r="E63" s="10">
        <f>SUM(E54:E61)</f>
        <v>223017</v>
      </c>
    </row>
    <row r="64" spans="2:5" ht="12.75">
      <c r="B64" s="2"/>
      <c r="C64" s="10"/>
      <c r="D64" s="28"/>
      <c r="E64" s="10"/>
    </row>
    <row r="65" spans="2:5" ht="12.75">
      <c r="B65" s="2" t="s">
        <v>21</v>
      </c>
      <c r="C65" s="68">
        <f>'[6]WSCBS'!$R$27</f>
        <v>173689.5119665259</v>
      </c>
      <c r="D65" s="31"/>
      <c r="E65" s="10">
        <f>92815</f>
        <v>92815</v>
      </c>
    </row>
    <row r="66" spans="2:5" ht="12.75">
      <c r="B66" s="2"/>
      <c r="C66" s="10"/>
      <c r="D66" s="31"/>
      <c r="E66" s="10"/>
    </row>
    <row r="67" spans="2:5" ht="12.75">
      <c r="B67" s="2" t="s">
        <v>54</v>
      </c>
      <c r="C67" s="10">
        <f>'[5]WSCBS'!$R$33</f>
        <v>68711</v>
      </c>
      <c r="D67" s="31"/>
      <c r="E67" s="10">
        <f>68711</f>
        <v>68711</v>
      </c>
    </row>
    <row r="68" spans="2:5" ht="12.75">
      <c r="B68" s="2"/>
      <c r="C68" s="10"/>
      <c r="D68" s="31"/>
      <c r="E68" s="10"/>
    </row>
    <row r="69" spans="2:5" ht="12.75">
      <c r="B69" s="2" t="s">
        <v>55</v>
      </c>
      <c r="C69" s="10">
        <f>SUM('[5]WSCBS'!$R$34,'[5]WSCBS'!$R$36)</f>
        <v>125832.70528339999</v>
      </c>
      <c r="D69" s="30"/>
      <c r="E69" s="10">
        <f>99431+26502+79</f>
        <v>126012</v>
      </c>
    </row>
    <row r="70" spans="2:5" ht="12.75">
      <c r="B70" s="2"/>
      <c r="C70" s="38"/>
      <c r="D70" s="39"/>
      <c r="E70" s="38"/>
    </row>
    <row r="71" spans="2:5" ht="12.75">
      <c r="B71" s="2" t="s">
        <v>56</v>
      </c>
      <c r="C71" s="10">
        <f>'[5]WSCBS'!$R$35</f>
        <v>1792</v>
      </c>
      <c r="D71" s="31"/>
      <c r="E71" s="10">
        <f>1792+62</f>
        <v>1854</v>
      </c>
    </row>
    <row r="72" spans="2:5" ht="12.75">
      <c r="B72" s="2"/>
      <c r="C72" s="10"/>
      <c r="D72" s="31"/>
      <c r="E72" s="10"/>
    </row>
    <row r="73" spans="2:5" ht="12.75">
      <c r="B73" s="2" t="s">
        <v>91</v>
      </c>
      <c r="C73" s="10">
        <f>'[5]WSCBS'!$R$37</f>
        <v>11122.548</v>
      </c>
      <c r="D73" s="30"/>
      <c r="E73" s="10">
        <f>11122</f>
        <v>11122</v>
      </c>
    </row>
    <row r="74" spans="2:5" ht="13.5" thickBot="1">
      <c r="B74" s="2"/>
      <c r="C74" s="18">
        <f>SUM(C63:C73)+1</f>
        <v>642109.6278927597</v>
      </c>
      <c r="D74" s="31"/>
      <c r="E74" s="18">
        <f>SUM(E63:E73)</f>
        <v>523531</v>
      </c>
    </row>
    <row r="75" spans="6:8" ht="12.75" customHeight="1" thickTop="1">
      <c r="F75" s="40"/>
      <c r="G75" s="40"/>
      <c r="H75" s="40"/>
    </row>
    <row r="77" spans="2:5" ht="12.75">
      <c r="B77" s="115" t="s">
        <v>133</v>
      </c>
      <c r="C77" s="115"/>
      <c r="D77" s="115"/>
      <c r="E77" s="115"/>
    </row>
    <row r="78" spans="2:5" ht="25.5" customHeight="1">
      <c r="B78" s="115"/>
      <c r="C78" s="115"/>
      <c r="D78" s="115"/>
      <c r="E78" s="115"/>
    </row>
  </sheetData>
  <sheetProtection password="EF0E" sheet="1" objects="1" scenarios="1"/>
  <mergeCells count="2">
    <mergeCell ref="B7:F7"/>
    <mergeCell ref="B77:E78"/>
  </mergeCells>
  <printOptions horizontalCentered="1"/>
  <pageMargins left="0.25" right="0.25" top="0.25" bottom="0.25" header="0.5" footer="0.32"/>
  <pageSetup cellComments="asDisplayed" fitToHeight="1" fitToWidth="1" horizontalDpi="600" verticalDpi="600" orientation="portrait" paperSize="9" scale="77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2"/>
  <sheetViews>
    <sheetView showGridLines="0" zoomScale="75" zoomScaleNormal="75" workbookViewId="0" topLeftCell="A19">
      <selection activeCell="G37" sqref="G37"/>
    </sheetView>
  </sheetViews>
  <sheetFormatPr defaultColWidth="9.140625" defaultRowHeight="12.75" outlineLevelRow="1" outlineLevelCol="1"/>
  <cols>
    <col min="1" max="1" width="46.7109375" style="45" customWidth="1"/>
    <col min="2" max="2" width="15.8515625" style="45" customWidth="1"/>
    <col min="3" max="3" width="11.140625" style="45" customWidth="1" outlineLevel="1"/>
    <col min="4" max="4" width="13.8515625" style="45" customWidth="1"/>
    <col min="5" max="5" width="13.00390625" style="45" customWidth="1" outlineLevel="1"/>
    <col min="6" max="6" width="11.140625" style="45" customWidth="1"/>
    <col min="7" max="7" width="11.28125" style="45" customWidth="1"/>
    <col min="8" max="8" width="1.7109375" style="45" customWidth="1"/>
    <col min="9" max="16384" width="8.00390625" style="45" customWidth="1"/>
  </cols>
  <sheetData>
    <row r="2" spans="1:7" s="42" customFormat="1" ht="12.75">
      <c r="A2" s="118" t="str">
        <f>'balance sheet'!B2</f>
        <v>Company name      : WAH SEONG CORPORATION BERHAD (Company No. 495846-A)</v>
      </c>
      <c r="B2" s="118"/>
      <c r="C2" s="118"/>
      <c r="D2" s="118"/>
      <c r="E2" s="118"/>
      <c r="F2" s="118"/>
      <c r="G2" s="118"/>
    </row>
    <row r="3" spans="1:7" s="42" customFormat="1" ht="12.75">
      <c r="A3" s="118" t="str">
        <f>'balance sheet'!B3</f>
        <v>Stock name            : WASEONG</v>
      </c>
      <c r="B3" s="118"/>
      <c r="C3" s="118"/>
      <c r="D3" s="118"/>
      <c r="E3" s="118"/>
      <c r="F3" s="118"/>
      <c r="G3" s="118"/>
    </row>
    <row r="4" spans="1:7" s="42" customFormat="1" ht="12.75">
      <c r="A4" s="85" t="str">
        <f>'balance sheet'!B4</f>
        <v>Financial Period Ended: 30 June 2005</v>
      </c>
      <c r="B4" s="85"/>
      <c r="C4" s="85"/>
      <c r="D4" s="85"/>
      <c r="E4" s="85"/>
      <c r="F4" s="85"/>
      <c r="G4" s="85"/>
    </row>
    <row r="5" spans="1:7" s="42" customFormat="1" ht="12.75">
      <c r="A5" s="118" t="str">
        <f>'balance sheet'!B5</f>
        <v>Quarter                   : 2</v>
      </c>
      <c r="B5" s="118"/>
      <c r="C5" s="118"/>
      <c r="D5" s="118"/>
      <c r="E5" s="118"/>
      <c r="F5" s="118"/>
      <c r="G5" s="118"/>
    </row>
    <row r="6" spans="1:7" s="42" customFormat="1" ht="12.75">
      <c r="A6" s="23" t="s">
        <v>23</v>
      </c>
      <c r="B6" s="41"/>
      <c r="C6" s="41"/>
      <c r="D6" s="41"/>
      <c r="E6" s="41"/>
      <c r="F6" s="41"/>
      <c r="G6" s="41"/>
    </row>
    <row r="7" spans="1:7" s="42" customFormat="1" ht="12.75">
      <c r="A7" s="43"/>
      <c r="B7" s="43"/>
      <c r="C7" s="43"/>
      <c r="D7" s="43"/>
      <c r="E7" s="43"/>
      <c r="F7" s="43"/>
      <c r="G7" s="43"/>
    </row>
    <row r="8" spans="1:7" s="42" customFormat="1" ht="12.75">
      <c r="A8" s="86" t="s">
        <v>57</v>
      </c>
      <c r="B8" s="86"/>
      <c r="C8" s="86"/>
      <c r="D8" s="86"/>
      <c r="E8" s="86"/>
      <c r="F8" s="86"/>
      <c r="G8" s="86"/>
    </row>
    <row r="9" spans="1:7" s="42" customFormat="1" ht="12.75">
      <c r="A9" s="119" t="str">
        <f>A4</f>
        <v>Financial Period Ended: 30 June 2005</v>
      </c>
      <c r="B9" s="119"/>
      <c r="C9" s="119"/>
      <c r="D9" s="119"/>
      <c r="E9" s="119"/>
      <c r="F9" s="119"/>
      <c r="G9" s="119"/>
    </row>
    <row r="10" spans="1:7" ht="12.75">
      <c r="A10" s="44"/>
      <c r="B10" s="44"/>
      <c r="C10" s="44"/>
      <c r="D10" s="44"/>
      <c r="E10" s="44"/>
      <c r="F10" s="44"/>
      <c r="G10" s="44"/>
    </row>
    <row r="11" spans="1:7" s="48" customFormat="1" ht="12.75">
      <c r="A11" s="46"/>
      <c r="B11" s="47" t="s">
        <v>58</v>
      </c>
      <c r="C11" s="47" t="s">
        <v>58</v>
      </c>
      <c r="D11" s="47" t="s">
        <v>59</v>
      </c>
      <c r="E11" s="47" t="s">
        <v>101</v>
      </c>
      <c r="F11" s="47" t="s">
        <v>60</v>
      </c>
      <c r="G11" s="116" t="s">
        <v>61</v>
      </c>
    </row>
    <row r="12" spans="1:7" s="48" customFormat="1" ht="12.75">
      <c r="A12" s="49"/>
      <c r="B12" s="50" t="s">
        <v>62</v>
      </c>
      <c r="C12" s="50" t="s">
        <v>63</v>
      </c>
      <c r="D12" s="50" t="s">
        <v>93</v>
      </c>
      <c r="E12" s="50" t="s">
        <v>64</v>
      </c>
      <c r="F12" s="50" t="s">
        <v>65</v>
      </c>
      <c r="G12" s="117"/>
    </row>
    <row r="13" spans="1:7" s="54" customFormat="1" ht="12.75">
      <c r="A13" s="51"/>
      <c r="B13" s="52" t="s">
        <v>12</v>
      </c>
      <c r="C13" s="52" t="s">
        <v>12</v>
      </c>
      <c r="D13" s="52" t="s">
        <v>12</v>
      </c>
      <c r="E13" s="52" t="s">
        <v>12</v>
      </c>
      <c r="F13" s="52" t="s">
        <v>12</v>
      </c>
      <c r="G13" s="53" t="s">
        <v>12</v>
      </c>
    </row>
    <row r="14" spans="1:7" ht="12.75">
      <c r="A14" s="55"/>
      <c r="B14" s="44"/>
      <c r="C14" s="44"/>
      <c r="D14" s="44"/>
      <c r="E14" s="44"/>
      <c r="F14" s="44"/>
      <c r="G14" s="55"/>
    </row>
    <row r="15" spans="1:7" ht="12.75">
      <c r="A15" s="55" t="s">
        <v>127</v>
      </c>
      <c r="B15" s="44">
        <f>170233</f>
        <v>170233</v>
      </c>
      <c r="C15" s="44">
        <v>0</v>
      </c>
      <c r="D15" s="44">
        <f>-537</f>
        <v>-537</v>
      </c>
      <c r="E15" s="44">
        <v>0</v>
      </c>
      <c r="F15" s="44">
        <f>31163</f>
        <v>31163</v>
      </c>
      <c r="G15" s="55">
        <f>SUM(B15:F15)</f>
        <v>200859</v>
      </c>
    </row>
    <row r="16" spans="1:7" ht="12.75">
      <c r="A16" s="55"/>
      <c r="B16" s="44"/>
      <c r="C16" s="44"/>
      <c r="D16" s="44"/>
      <c r="E16" s="44"/>
      <c r="F16" s="44"/>
      <c r="G16" s="55"/>
    </row>
    <row r="17" spans="1:7" ht="12.75">
      <c r="A17" s="55" t="s">
        <v>66</v>
      </c>
      <c r="B17" s="44"/>
      <c r="C17" s="44"/>
      <c r="D17" s="44"/>
      <c r="E17" s="44"/>
      <c r="F17" s="44"/>
      <c r="G17" s="55"/>
    </row>
    <row r="18" spans="1:7" ht="12.75">
      <c r="A18" s="55" t="s">
        <v>67</v>
      </c>
      <c r="B18" s="44">
        <f>2211</f>
        <v>2211</v>
      </c>
      <c r="C18" s="44">
        <f>0</f>
        <v>0</v>
      </c>
      <c r="D18" s="44">
        <f>0</f>
        <v>0</v>
      </c>
      <c r="E18" s="44">
        <f>0</f>
        <v>0</v>
      </c>
      <c r="F18" s="44">
        <f>0</f>
        <v>0</v>
      </c>
      <c r="G18" s="55">
        <f>SUM(B18:F18)</f>
        <v>2211</v>
      </c>
    </row>
    <row r="19" spans="1:7" ht="12.75">
      <c r="A19" s="65" t="s">
        <v>129</v>
      </c>
      <c r="B19" s="44">
        <f>79</f>
        <v>79</v>
      </c>
      <c r="C19" s="44">
        <f>249</f>
        <v>249</v>
      </c>
      <c r="D19" s="44">
        <f>0</f>
        <v>0</v>
      </c>
      <c r="E19" s="44">
        <f>0</f>
        <v>0</v>
      </c>
      <c r="F19" s="44">
        <f>0</f>
        <v>0</v>
      </c>
      <c r="G19" s="55">
        <f>SUM(B19:F19)</f>
        <v>328</v>
      </c>
    </row>
    <row r="20" spans="1:7" ht="12.75">
      <c r="A20" s="55" t="s">
        <v>130</v>
      </c>
      <c r="B20" s="44">
        <f>0</f>
        <v>0</v>
      </c>
      <c r="C20" s="44">
        <f>-155</f>
        <v>-155</v>
      </c>
      <c r="D20" s="44">
        <f>0</f>
        <v>0</v>
      </c>
      <c r="E20" s="44">
        <f>0</f>
        <v>0</v>
      </c>
      <c r="F20" s="44">
        <f>0</f>
        <v>0</v>
      </c>
      <c r="G20" s="55">
        <f>SUM(B20:F20)</f>
        <v>-155</v>
      </c>
    </row>
    <row r="21" spans="1:7" ht="12.75">
      <c r="A21" s="55"/>
      <c r="B21" s="44"/>
      <c r="C21" s="44"/>
      <c r="D21" s="44"/>
      <c r="E21" s="44"/>
      <c r="F21" s="44"/>
      <c r="G21" s="55"/>
    </row>
    <row r="22" spans="1:7" ht="12.75">
      <c r="A22" s="55" t="s">
        <v>68</v>
      </c>
      <c r="B22" s="44">
        <f>0</f>
        <v>0</v>
      </c>
      <c r="C22" s="44">
        <f>0</f>
        <v>0</v>
      </c>
      <c r="D22" s="44">
        <f>194</f>
        <v>194</v>
      </c>
      <c r="E22" s="44">
        <f>0</f>
        <v>0</v>
      </c>
      <c r="F22" s="44">
        <f>0</f>
        <v>0</v>
      </c>
      <c r="G22" s="55">
        <f>SUM(B22:F22)</f>
        <v>194</v>
      </c>
    </row>
    <row r="23" spans="1:7" ht="12.75">
      <c r="A23" s="55"/>
      <c r="B23" s="44"/>
      <c r="C23" s="44"/>
      <c r="D23" s="44"/>
      <c r="E23" s="44"/>
      <c r="F23" s="44"/>
      <c r="G23" s="55"/>
    </row>
    <row r="24" spans="1:7" ht="12.75">
      <c r="A24" s="55" t="s">
        <v>69</v>
      </c>
      <c r="B24" s="44">
        <f>0</f>
        <v>0</v>
      </c>
      <c r="C24" s="44">
        <f>0</f>
        <v>0</v>
      </c>
      <c r="D24" s="44">
        <f>0</f>
        <v>0</v>
      </c>
      <c r="E24" s="44">
        <f>0</f>
        <v>0</v>
      </c>
      <c r="F24" s="44">
        <f>25764</f>
        <v>25764</v>
      </c>
      <c r="G24" s="55">
        <f>SUM(B24:F24)</f>
        <v>25764</v>
      </c>
    </row>
    <row r="25" spans="1:7" ht="12.75">
      <c r="A25" s="55"/>
      <c r="B25" s="44"/>
      <c r="C25" s="44"/>
      <c r="D25" s="44"/>
      <c r="E25" s="44"/>
      <c r="F25" s="44"/>
      <c r="G25" s="55"/>
    </row>
    <row r="26" spans="1:7" ht="12.75">
      <c r="A26" s="55" t="s">
        <v>131</v>
      </c>
      <c r="B26" s="44">
        <v>0</v>
      </c>
      <c r="C26" s="44">
        <f>0</f>
        <v>0</v>
      </c>
      <c r="D26" s="44">
        <f>0</f>
        <v>0</v>
      </c>
      <c r="E26" s="44">
        <f>0</f>
        <v>0</v>
      </c>
      <c r="F26" s="44">
        <f>-3677-33</f>
        <v>-3710</v>
      </c>
      <c r="G26" s="55">
        <f>SUM(B26:F26)</f>
        <v>-3710</v>
      </c>
    </row>
    <row r="27" spans="1:7" ht="12.75">
      <c r="A27" s="55"/>
      <c r="B27" s="44"/>
      <c r="C27" s="44"/>
      <c r="D27" s="44"/>
      <c r="E27" s="44"/>
      <c r="F27" s="44"/>
      <c r="G27" s="55"/>
    </row>
    <row r="28" spans="1:7" ht="12.75">
      <c r="A28" s="55" t="s">
        <v>132</v>
      </c>
      <c r="B28" s="44">
        <f>0</f>
        <v>0</v>
      </c>
      <c r="C28" s="44">
        <f>0</f>
        <v>0</v>
      </c>
      <c r="D28" s="44">
        <f>0</f>
        <v>0</v>
      </c>
      <c r="E28" s="44">
        <f>0</f>
        <v>0</v>
      </c>
      <c r="F28" s="44">
        <f>-2474</f>
        <v>-2474</v>
      </c>
      <c r="G28" s="55">
        <f>SUM(B28:F28)</f>
        <v>-2474</v>
      </c>
    </row>
    <row r="29" spans="1:7" ht="12.75">
      <c r="A29" s="55"/>
      <c r="B29" s="44"/>
      <c r="C29" s="44"/>
      <c r="D29" s="44"/>
      <c r="E29" s="44"/>
      <c r="F29" s="44"/>
      <c r="G29" s="55"/>
    </row>
    <row r="30" spans="1:7" ht="12.75">
      <c r="A30" s="56" t="s">
        <v>128</v>
      </c>
      <c r="B30" s="57">
        <f aca="true" t="shared" si="0" ref="B30:G30">SUM(B15:B29)</f>
        <v>172523</v>
      </c>
      <c r="C30" s="57">
        <f t="shared" si="0"/>
        <v>94</v>
      </c>
      <c r="D30" s="57">
        <f t="shared" si="0"/>
        <v>-343</v>
      </c>
      <c r="E30" s="57">
        <f t="shared" si="0"/>
        <v>0</v>
      </c>
      <c r="F30" s="57">
        <f t="shared" si="0"/>
        <v>50743</v>
      </c>
      <c r="G30" s="58">
        <f t="shared" si="0"/>
        <v>223017</v>
      </c>
    </row>
    <row r="31" spans="1:7" ht="12.75" outlineLevel="1">
      <c r="A31" s="55"/>
      <c r="B31" s="44"/>
      <c r="C31" s="44"/>
      <c r="D31" s="44"/>
      <c r="E31" s="44"/>
      <c r="F31" s="44"/>
      <c r="G31" s="55"/>
    </row>
    <row r="32" spans="1:7" ht="12.75" outlineLevel="1">
      <c r="A32" s="55" t="s">
        <v>68</v>
      </c>
      <c r="B32" s="44">
        <v>0</v>
      </c>
      <c r="C32" s="44">
        <v>0</v>
      </c>
      <c r="D32" s="44"/>
      <c r="E32" s="44">
        <v>0</v>
      </c>
      <c r="F32" s="44">
        <v>0</v>
      </c>
      <c r="G32" s="55">
        <f>SUM(B32:F32)</f>
        <v>0</v>
      </c>
    </row>
    <row r="33" spans="1:7" ht="12.75">
      <c r="A33" s="55"/>
      <c r="B33" s="44"/>
      <c r="C33" s="44"/>
      <c r="D33" s="44"/>
      <c r="E33" s="44"/>
      <c r="F33" s="44"/>
      <c r="G33" s="55"/>
    </row>
    <row r="34" spans="1:7" ht="12.75">
      <c r="A34" s="55" t="s">
        <v>22</v>
      </c>
      <c r="B34" s="44">
        <v>0</v>
      </c>
      <c r="C34" s="44">
        <v>0</v>
      </c>
      <c r="D34" s="44">
        <f>-4</f>
        <v>-4</v>
      </c>
      <c r="E34" s="44"/>
      <c r="F34" s="44">
        <f>IncomeStatement!G42</f>
        <v>37948.367489706405</v>
      </c>
      <c r="G34" s="55">
        <f>SUM(B34:F34)</f>
        <v>37944.367489706405</v>
      </c>
    </row>
    <row r="35" spans="1:7" ht="12.75">
      <c r="A35" s="55"/>
      <c r="B35" s="44"/>
      <c r="C35" s="44"/>
      <c r="D35" s="44"/>
      <c r="E35" s="44"/>
      <c r="F35" s="44"/>
      <c r="G35" s="55"/>
    </row>
    <row r="36" spans="1:7" ht="12.75">
      <c r="A36" s="55"/>
      <c r="B36" s="44"/>
      <c r="C36" s="44"/>
      <c r="D36" s="44"/>
      <c r="E36" s="44"/>
      <c r="F36" s="44"/>
      <c r="G36" s="55"/>
    </row>
    <row r="37" spans="1:7" ht="13.5" thickBot="1">
      <c r="A37" s="59" t="str">
        <f>A4</f>
        <v>Financial Period Ended: 30 June 2005</v>
      </c>
      <c r="B37" s="60">
        <f aca="true" t="shared" si="1" ref="B37:G37">SUM(B30:B36)</f>
        <v>172523</v>
      </c>
      <c r="C37" s="60">
        <f t="shared" si="1"/>
        <v>94</v>
      </c>
      <c r="D37" s="60">
        <f t="shared" si="1"/>
        <v>-347</v>
      </c>
      <c r="E37" s="60">
        <f t="shared" si="1"/>
        <v>0</v>
      </c>
      <c r="F37" s="60">
        <f>SUM(F30:F36)</f>
        <v>88691.3674897064</v>
      </c>
      <c r="G37" s="61">
        <f t="shared" si="1"/>
        <v>260961.3674897064</v>
      </c>
    </row>
    <row r="38" spans="1:7" ht="13.5" hidden="1" outlineLevel="1" thickTop="1">
      <c r="A38" s="44"/>
      <c r="B38" s="44"/>
      <c r="C38" s="44"/>
      <c r="D38" s="44"/>
      <c r="E38" s="44"/>
      <c r="F38" s="44"/>
      <c r="G38" s="44">
        <f>G37-'balance sheet'!C63</f>
        <v>0.504846872529015</v>
      </c>
    </row>
    <row r="39" spans="1:7" ht="12.75" hidden="1">
      <c r="A39" s="44"/>
      <c r="B39" s="44"/>
      <c r="C39" s="44"/>
      <c r="D39" s="44"/>
      <c r="E39" s="44"/>
      <c r="F39" s="44"/>
      <c r="G39" s="44">
        <f>G37-'balance sheet'!C63</f>
        <v>0.504846872529015</v>
      </c>
    </row>
    <row r="40" spans="1:7" ht="13.5" thickTop="1">
      <c r="A40" s="44"/>
      <c r="B40" s="44"/>
      <c r="C40" s="44"/>
      <c r="D40" s="44"/>
      <c r="E40" s="44"/>
      <c r="F40" s="44"/>
      <c r="G40" s="44"/>
    </row>
    <row r="41" spans="1:8" ht="12.75">
      <c r="A41" s="115" t="s">
        <v>134</v>
      </c>
      <c r="B41" s="115"/>
      <c r="C41" s="115"/>
      <c r="D41" s="115"/>
      <c r="E41" s="115"/>
      <c r="F41" s="115"/>
      <c r="G41" s="115"/>
      <c r="H41" s="115"/>
    </row>
    <row r="42" spans="1:8" ht="12.75">
      <c r="A42" s="115"/>
      <c r="B42" s="115"/>
      <c r="C42" s="115"/>
      <c r="D42" s="115"/>
      <c r="E42" s="115"/>
      <c r="F42" s="115"/>
      <c r="G42" s="115"/>
      <c r="H42" s="115"/>
    </row>
  </sheetData>
  <sheetProtection password="EF0E" sheet="1" objects="1" scenarios="1"/>
  <mergeCells count="8">
    <mergeCell ref="A41:H42"/>
    <mergeCell ref="G11:G12"/>
    <mergeCell ref="A2:G2"/>
    <mergeCell ref="A3:G3"/>
    <mergeCell ref="A4:G4"/>
    <mergeCell ref="A8:G8"/>
    <mergeCell ref="A9:G9"/>
    <mergeCell ref="A5:G5"/>
  </mergeCells>
  <printOptions horizontalCentered="1"/>
  <pageMargins left="0.48" right="0" top="0.81" bottom="0.984251968503937" header="0.31496062992126" footer="0.44"/>
  <pageSetup fitToHeight="1" fitToWidth="1" horizontalDpi="300" verticalDpi="300" orientation="portrait" paperSize="9" scale="78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4"/>
  <sheetViews>
    <sheetView showGridLines="0" tabSelected="1" zoomScale="75" zoomScaleNormal="75" workbookViewId="0" topLeftCell="A51">
      <selection activeCell="D24" sqref="D24"/>
    </sheetView>
  </sheetViews>
  <sheetFormatPr defaultColWidth="9.140625" defaultRowHeight="12.75" outlineLevelRow="1"/>
  <cols>
    <col min="1" max="1" width="65.140625" style="1" customWidth="1"/>
    <col min="2" max="2" width="12.140625" style="1" customWidth="1"/>
    <col min="3" max="3" width="15.00390625" style="1" customWidth="1"/>
    <col min="4" max="4" width="18.421875" style="109" customWidth="1"/>
    <col min="5" max="5" width="2.421875" style="1" customWidth="1"/>
    <col min="6" max="6" width="17.00390625" style="1" customWidth="1"/>
    <col min="7" max="16384" width="9.140625" style="1" customWidth="1"/>
  </cols>
  <sheetData>
    <row r="1" spans="1:5" ht="15.75">
      <c r="A1" s="70" t="str">
        <f>'[4]Statement of changes equity'!A2</f>
        <v>Company name      : WAH SEONG CORPORATION BERHAD (Company No. 495846-A)</v>
      </c>
      <c r="B1" s="71"/>
      <c r="C1" s="71"/>
      <c r="D1" s="72"/>
      <c r="E1" s="73"/>
    </row>
    <row r="2" spans="1:5" ht="15.75">
      <c r="A2" s="70" t="str">
        <f>'[4]Statement of changes equity'!A3</f>
        <v>Stock name            : WASEONG</v>
      </c>
      <c r="B2" s="71"/>
      <c r="C2" s="71"/>
      <c r="D2" s="72"/>
      <c r="E2" s="73"/>
    </row>
    <row r="3" spans="1:5" ht="15.75">
      <c r="A3" s="74" t="s">
        <v>139</v>
      </c>
      <c r="B3" s="71"/>
      <c r="C3" s="71"/>
      <c r="D3" s="72"/>
      <c r="E3" s="73"/>
    </row>
    <row r="4" spans="1:5" ht="15.75">
      <c r="A4" s="70" t="s">
        <v>144</v>
      </c>
      <c r="D4" s="72"/>
      <c r="E4" s="73"/>
    </row>
    <row r="5" spans="1:5" ht="15.75">
      <c r="A5" s="23" t="s">
        <v>23</v>
      </c>
      <c r="D5" s="72"/>
      <c r="E5" s="73"/>
    </row>
    <row r="6" spans="4:5" ht="15.75">
      <c r="D6" s="72"/>
      <c r="E6" s="73"/>
    </row>
    <row r="7" spans="1:6" ht="15.75">
      <c r="A7" s="75" t="s">
        <v>70</v>
      </c>
      <c r="D7" s="76" t="s">
        <v>145</v>
      </c>
      <c r="E7" s="3"/>
      <c r="F7" s="77" t="str">
        <f>D7</f>
        <v>6 months ended</v>
      </c>
    </row>
    <row r="8" spans="1:6" ht="15.75">
      <c r="A8" s="78" t="str">
        <f>A3</f>
        <v>Financial Period Ended: 30 June 2005</v>
      </c>
      <c r="D8" s="79" t="s">
        <v>143</v>
      </c>
      <c r="E8" s="80"/>
      <c r="F8" s="81" t="s">
        <v>142</v>
      </c>
    </row>
    <row r="9" spans="1:6" ht="15.75">
      <c r="A9" s="75"/>
      <c r="D9" s="82" t="s">
        <v>12</v>
      </c>
      <c r="E9" s="83"/>
      <c r="F9" s="83" t="s">
        <v>12</v>
      </c>
    </row>
    <row r="10" spans="1:6" ht="15.75" outlineLevel="1">
      <c r="A10" s="70" t="s">
        <v>71</v>
      </c>
      <c r="B10" s="70"/>
      <c r="C10" s="70"/>
      <c r="D10" s="84"/>
      <c r="E10" s="87"/>
      <c r="F10" s="88"/>
    </row>
    <row r="11" spans="1:6" ht="15.75" outlineLevel="1">
      <c r="A11" s="71" t="s">
        <v>72</v>
      </c>
      <c r="B11" s="71"/>
      <c r="C11" s="73"/>
      <c r="D11" s="89">
        <f>+'[7]CF Worksheet'!AV10-1</f>
        <v>64801.38675922872</v>
      </c>
      <c r="F11" s="90">
        <f>36537</f>
        <v>36537</v>
      </c>
    </row>
    <row r="12" spans="1:6" ht="15.75" outlineLevel="1">
      <c r="A12" s="71"/>
      <c r="B12" s="71"/>
      <c r="C12" s="73"/>
      <c r="D12" s="89"/>
      <c r="F12" s="90"/>
    </row>
    <row r="13" spans="1:6" ht="15.75" outlineLevel="1">
      <c r="A13" s="71" t="s">
        <v>73</v>
      </c>
      <c r="B13" s="71"/>
      <c r="C13" s="73"/>
      <c r="D13" s="89"/>
      <c r="F13" s="90"/>
    </row>
    <row r="14" spans="1:6" ht="15.75" outlineLevel="1">
      <c r="A14" s="71" t="s">
        <v>74</v>
      </c>
      <c r="B14" s="73"/>
      <c r="C14" s="73"/>
      <c r="D14" s="91">
        <f>+'[7]CF Worksheet'!AT37</f>
        <v>-9865.738740386669</v>
      </c>
      <c r="F14" s="92">
        <f>8529</f>
        <v>8529</v>
      </c>
    </row>
    <row r="15" spans="1:6" ht="15.75" outlineLevel="1">
      <c r="A15" s="71" t="s">
        <v>75</v>
      </c>
      <c r="B15" s="73"/>
      <c r="C15" s="73"/>
      <c r="D15" s="91">
        <f>+'[7]CF Worksheet'!AT49</f>
        <v>-2005.2155911026675</v>
      </c>
      <c r="F15" s="92">
        <f>3678</f>
        <v>3678</v>
      </c>
    </row>
    <row r="16" spans="1:6" ht="15.75" outlineLevel="1">
      <c r="A16" s="71"/>
      <c r="B16" s="71"/>
      <c r="C16" s="73"/>
      <c r="D16" s="91"/>
      <c r="F16" s="92"/>
    </row>
    <row r="17" spans="1:6" ht="15.75" outlineLevel="1">
      <c r="A17" s="71" t="s">
        <v>76</v>
      </c>
      <c r="B17" s="71"/>
      <c r="C17" s="73"/>
      <c r="D17" s="93">
        <f>SUM(D11:D15)</f>
        <v>52930.43242773939</v>
      </c>
      <c r="F17" s="94">
        <f>SUM(F11:F15)</f>
        <v>48744</v>
      </c>
    </row>
    <row r="18" spans="1:6" ht="15.75" outlineLevel="1">
      <c r="A18" s="71"/>
      <c r="B18" s="71"/>
      <c r="C18" s="73"/>
      <c r="D18" s="91"/>
      <c r="F18" s="92"/>
    </row>
    <row r="19" spans="1:6" ht="15.75" outlineLevel="1">
      <c r="A19" s="71" t="s">
        <v>77</v>
      </c>
      <c r="B19" s="71"/>
      <c r="C19" s="73"/>
      <c r="D19" s="95">
        <f>+'[7]CF Worksheet'!AT56+'[7]CF Worksheet'!AT55+'[7]CF Worksheet'!AT81+3</f>
        <v>-138640</v>
      </c>
      <c r="F19" s="92">
        <f>-16437</f>
        <v>-16437</v>
      </c>
    </row>
    <row r="20" spans="1:6" ht="15.75" outlineLevel="1">
      <c r="A20" s="71" t="s">
        <v>78</v>
      </c>
      <c r="B20" s="71"/>
      <c r="C20" s="73"/>
      <c r="D20" s="91">
        <f>+'[7]CF Worksheet'!AT57</f>
        <v>68564.10566</v>
      </c>
      <c r="F20" s="92">
        <f>12232</f>
        <v>12232</v>
      </c>
    </row>
    <row r="21" spans="1:6" ht="15.75">
      <c r="A21" s="71"/>
      <c r="B21" s="71"/>
      <c r="C21" s="73"/>
      <c r="D21" s="96"/>
      <c r="F21" s="97"/>
    </row>
    <row r="22" spans="1:6" ht="15.75">
      <c r="A22" s="71" t="s">
        <v>137</v>
      </c>
      <c r="B22" s="71"/>
      <c r="C22" s="73"/>
      <c r="D22" s="98">
        <f>SUM(D17:D21)-1</f>
        <v>-17146.46191226061</v>
      </c>
      <c r="F22" s="99">
        <f>+F17+F19+F20</f>
        <v>44539</v>
      </c>
    </row>
    <row r="23" spans="1:6" ht="15.75">
      <c r="A23" s="71" t="s">
        <v>120</v>
      </c>
      <c r="B23" s="71"/>
      <c r="C23" s="73"/>
      <c r="D23" s="100">
        <f>'[7]CF Worksheet'!AV63</f>
        <v>321.12235649999997</v>
      </c>
      <c r="F23" s="99">
        <f>479</f>
        <v>479</v>
      </c>
    </row>
    <row r="24" spans="1:6" ht="15.75">
      <c r="A24" s="71" t="s">
        <v>16</v>
      </c>
      <c r="B24" s="71"/>
      <c r="C24" s="73"/>
      <c r="D24" s="100">
        <f>+'[7]CF Worksheet'!AV64</f>
        <v>-7415.9067653973325</v>
      </c>
      <c r="F24" s="99">
        <f>-4371</f>
        <v>-4371</v>
      </c>
    </row>
    <row r="25" spans="1:6" ht="15.75">
      <c r="A25" s="71" t="s">
        <v>79</v>
      </c>
      <c r="B25" s="71"/>
      <c r="C25" s="73"/>
      <c r="D25" s="100">
        <f>+'[7]CF Worksheet'!AV62</f>
        <v>-4135</v>
      </c>
      <c r="F25" s="99">
        <f>-7209</f>
        <v>-7209</v>
      </c>
    </row>
    <row r="26" spans="1:6" ht="15.75">
      <c r="A26" s="70" t="s">
        <v>138</v>
      </c>
      <c r="B26" s="71"/>
      <c r="C26" s="73"/>
      <c r="D26" s="101">
        <f>SUM(D22:D25)</f>
        <v>-28376.24632115794</v>
      </c>
      <c r="F26" s="102">
        <f>SUM(F22:F25)</f>
        <v>33438</v>
      </c>
    </row>
    <row r="27" spans="1:6" ht="15.75">
      <c r="A27" s="71"/>
      <c r="B27" s="71"/>
      <c r="C27" s="73"/>
      <c r="D27" s="89"/>
      <c r="F27" s="90"/>
    </row>
    <row r="28" spans="1:6" ht="15.75" outlineLevel="1">
      <c r="A28" s="70" t="s">
        <v>80</v>
      </c>
      <c r="B28" s="70"/>
      <c r="C28" s="73"/>
      <c r="D28" s="89"/>
      <c r="F28" s="90"/>
    </row>
    <row r="29" spans="1:6" ht="15.75" outlineLevel="1">
      <c r="A29" s="70"/>
      <c r="B29" s="70"/>
      <c r="C29" s="73"/>
      <c r="D29" s="89"/>
      <c r="F29" s="90"/>
    </row>
    <row r="30" spans="1:6" ht="15.75" outlineLevel="1">
      <c r="A30" s="103" t="s">
        <v>122</v>
      </c>
      <c r="B30" s="103"/>
      <c r="C30" s="72"/>
      <c r="D30" s="104">
        <f>+'[7]CF Worksheet'!AV70</f>
        <v>-30194</v>
      </c>
      <c r="F30" s="92">
        <f>-12578</f>
        <v>-12578</v>
      </c>
    </row>
    <row r="31" spans="1:6" ht="15.75" outlineLevel="1">
      <c r="A31" s="103" t="s">
        <v>118</v>
      </c>
      <c r="B31" s="103"/>
      <c r="C31" s="72"/>
      <c r="D31" s="104">
        <f>'[7]CF Worksheet'!AV69</f>
        <v>210.67200000000003</v>
      </c>
      <c r="F31" s="92">
        <f>0</f>
        <v>0</v>
      </c>
    </row>
    <row r="32" spans="1:6" ht="15.75" outlineLevel="1">
      <c r="A32" s="71" t="s">
        <v>102</v>
      </c>
      <c r="B32" s="103"/>
      <c r="C32" s="72"/>
      <c r="D32" s="104">
        <f>'[7]CF Worksheet'!AT85</f>
        <v>-4503</v>
      </c>
      <c r="F32" s="92">
        <f>-65482</f>
        <v>-65482</v>
      </c>
    </row>
    <row r="33" spans="1:6" ht="15.75" outlineLevel="1">
      <c r="A33" s="71" t="s">
        <v>103</v>
      </c>
      <c r="B33" s="71"/>
      <c r="C33" s="73"/>
      <c r="D33" s="104">
        <f>+'[7]CF Worksheet'!AT78+'[7]CF Worksheet'!AT79+'[7]CF Worksheet'!AT75</f>
        <v>0</v>
      </c>
      <c r="F33" s="92">
        <f>-236</f>
        <v>-236</v>
      </c>
    </row>
    <row r="34" spans="1:6" ht="15.75" hidden="1" outlineLevel="1">
      <c r="A34" s="71" t="s">
        <v>114</v>
      </c>
      <c r="B34" s="71"/>
      <c r="C34" s="73"/>
      <c r="D34" s="104">
        <f>'[7]CF Worksheet'!AT77</f>
        <v>0</v>
      </c>
      <c r="F34" s="92">
        <f>0</f>
        <v>0</v>
      </c>
    </row>
    <row r="35" spans="1:6" ht="15.75" outlineLevel="1">
      <c r="A35" s="71" t="s">
        <v>99</v>
      </c>
      <c r="B35" s="71"/>
      <c r="C35" s="73"/>
      <c r="D35" s="104">
        <f>0</f>
        <v>0</v>
      </c>
      <c r="F35" s="92">
        <f>556</f>
        <v>556</v>
      </c>
    </row>
    <row r="36" spans="1:6" ht="15.75" outlineLevel="1">
      <c r="A36" s="71" t="s">
        <v>150</v>
      </c>
      <c r="B36" s="71"/>
      <c r="C36" s="73"/>
      <c r="D36" s="104">
        <f>'[7]CF Worksheet'!AT80</f>
        <v>35640.122</v>
      </c>
      <c r="F36" s="92">
        <f>0</f>
        <v>0</v>
      </c>
    </row>
    <row r="37" spans="1:6" ht="15.75" outlineLevel="1">
      <c r="A37" s="71" t="s">
        <v>81</v>
      </c>
      <c r="B37" s="71"/>
      <c r="C37" s="73"/>
      <c r="D37" s="105">
        <f>'[7]CF Worksheet'!AT87</f>
        <v>2851.596</v>
      </c>
      <c r="F37" s="92">
        <f>0</f>
        <v>0</v>
      </c>
    </row>
    <row r="38" spans="1:6" ht="15.75" outlineLevel="1">
      <c r="A38" s="71" t="s">
        <v>119</v>
      </c>
      <c r="B38" s="71"/>
      <c r="C38" s="73"/>
      <c r="D38" s="104">
        <f>'[7]CF Worksheet'!AV76</f>
        <v>-99102.13923042596</v>
      </c>
      <c r="F38" s="92">
        <f>0</f>
        <v>0</v>
      </c>
    </row>
    <row r="39" spans="1:6" ht="15.75" outlineLevel="1">
      <c r="A39" s="71"/>
      <c r="B39" s="71"/>
      <c r="C39" s="73"/>
      <c r="D39" s="96"/>
      <c r="F39" s="97"/>
    </row>
    <row r="40" spans="1:6" ht="15.75">
      <c r="A40" s="70" t="s">
        <v>104</v>
      </c>
      <c r="B40" s="71"/>
      <c r="C40" s="73"/>
      <c r="D40" s="101">
        <f>SUM(D30:D39)+1</f>
        <v>-95095.74923042596</v>
      </c>
      <c r="F40" s="102">
        <f>SUM(F30:F39)</f>
        <v>-77740</v>
      </c>
    </row>
    <row r="41" spans="1:6" ht="15.75">
      <c r="A41" s="71"/>
      <c r="B41" s="71"/>
      <c r="C41" s="73"/>
      <c r="D41" s="89"/>
      <c r="F41" s="90"/>
    </row>
    <row r="42" spans="1:6" ht="15.75" outlineLevel="1">
      <c r="A42" s="70" t="s">
        <v>105</v>
      </c>
      <c r="B42" s="70"/>
      <c r="C42" s="73"/>
      <c r="D42" s="89"/>
      <c r="F42" s="90"/>
    </row>
    <row r="43" spans="1:6" ht="15.75" outlineLevel="1">
      <c r="A43" s="70"/>
      <c r="B43" s="70"/>
      <c r="C43" s="73"/>
      <c r="D43" s="89"/>
      <c r="F43" s="90"/>
    </row>
    <row r="44" spans="1:6" ht="15.75" outlineLevel="1">
      <c r="A44" s="71" t="s">
        <v>98</v>
      </c>
      <c r="B44" s="70"/>
      <c r="C44" s="73"/>
      <c r="D44" s="91">
        <f>+'[7]CF Worksheet'!AT91</f>
        <v>0</v>
      </c>
      <c r="F44" s="92">
        <f>328</f>
        <v>328</v>
      </c>
    </row>
    <row r="45" spans="1:6" ht="15.75" outlineLevel="1">
      <c r="A45" s="71" t="s">
        <v>146</v>
      </c>
      <c r="B45" s="70"/>
      <c r="C45" s="73"/>
      <c r="D45" s="91">
        <f>0</f>
        <v>0</v>
      </c>
      <c r="F45" s="92">
        <f>-153</f>
        <v>-153</v>
      </c>
    </row>
    <row r="46" spans="1:6" ht="15.75" outlineLevel="1">
      <c r="A46" s="71" t="s">
        <v>149</v>
      </c>
      <c r="B46" s="70"/>
      <c r="C46" s="73"/>
      <c r="D46" s="91">
        <f>'[7]CF Worksheet'!AT96</f>
        <v>20000</v>
      </c>
      <c r="F46" s="90">
        <f>0</f>
        <v>0</v>
      </c>
    </row>
    <row r="47" spans="1:6" ht="15.75" hidden="1" outlineLevel="1">
      <c r="A47" s="71" t="s">
        <v>113</v>
      </c>
      <c r="B47" s="70"/>
      <c r="C47" s="73"/>
      <c r="D47" s="91">
        <f>'[7]CF Worksheet'!AT97</f>
        <v>0</v>
      </c>
      <c r="F47" s="90">
        <f>0</f>
        <v>0</v>
      </c>
    </row>
    <row r="48" spans="1:6" ht="15.75" outlineLevel="1">
      <c r="A48" s="71" t="s">
        <v>136</v>
      </c>
      <c r="B48" s="71"/>
      <c r="C48" s="73"/>
      <c r="D48" s="91">
        <f>+'[7]CF Worksheet'!AT94+'[7]CF Worksheet'!AT95+'[7]CF Worksheet'!AT98+'[7]CF Worksheet'!AT99</f>
        <v>126296</v>
      </c>
      <c r="F48" s="92">
        <f>47064</f>
        <v>47064</v>
      </c>
    </row>
    <row r="49" spans="1:6" ht="15.75" hidden="1" outlineLevel="1">
      <c r="A49" s="71" t="s">
        <v>117</v>
      </c>
      <c r="B49" s="71"/>
      <c r="C49" s="73"/>
      <c r="D49" s="91">
        <f>'[7]CF Worksheet'!AV83</f>
        <v>0</v>
      </c>
      <c r="F49" s="92">
        <f>0</f>
        <v>0</v>
      </c>
    </row>
    <row r="50" spans="1:6" ht="15.75" hidden="1" outlineLevel="1">
      <c r="A50" s="71" t="s">
        <v>88</v>
      </c>
      <c r="B50" s="71"/>
      <c r="C50" s="73"/>
      <c r="D50" s="91">
        <f>'[7]CF Worksheet'!AV84</f>
        <v>0</v>
      </c>
      <c r="F50" s="92">
        <f>0</f>
        <v>0</v>
      </c>
    </row>
    <row r="51" spans="1:6" ht="15.75" outlineLevel="1">
      <c r="A51" s="71"/>
      <c r="B51" s="71"/>
      <c r="C51" s="73"/>
      <c r="D51" s="96"/>
      <c r="F51" s="97"/>
    </row>
    <row r="52" spans="1:6" ht="15.75">
      <c r="A52" s="70" t="s">
        <v>82</v>
      </c>
      <c r="B52" s="71"/>
      <c r="C52" s="73"/>
      <c r="D52" s="101">
        <f>SUM(D44:D51)</f>
        <v>146296</v>
      </c>
      <c r="F52" s="102">
        <f>SUM(F44:F51)</f>
        <v>47239</v>
      </c>
    </row>
    <row r="53" spans="1:6" ht="15.75">
      <c r="A53" s="71"/>
      <c r="B53" s="71"/>
      <c r="C53" s="73"/>
      <c r="D53" s="89"/>
      <c r="F53" s="90"/>
    </row>
    <row r="54" spans="1:6" ht="15.75">
      <c r="A54" s="70" t="s">
        <v>147</v>
      </c>
      <c r="B54" s="71"/>
      <c r="C54" s="73"/>
      <c r="D54" s="89">
        <f>+D26+D40+D52</f>
        <v>22824.00444841609</v>
      </c>
      <c r="F54" s="90">
        <f>+F26+F40+F52</f>
        <v>2937</v>
      </c>
    </row>
    <row r="55" spans="1:6" ht="15.75">
      <c r="A55" s="70"/>
      <c r="B55" s="71"/>
      <c r="C55" s="73"/>
      <c r="D55" s="89"/>
      <c r="F55" s="90"/>
    </row>
    <row r="56" spans="1:6" ht="15.75" hidden="1">
      <c r="A56" s="70" t="s">
        <v>89</v>
      </c>
      <c r="B56" s="71"/>
      <c r="C56" s="73"/>
      <c r="D56" s="89">
        <f>'[7]CF Worksheet'!AV105</f>
        <v>0</v>
      </c>
      <c r="F56" s="90">
        <f>0</f>
        <v>0</v>
      </c>
    </row>
    <row r="57" spans="1:6" ht="15.75">
      <c r="A57" s="71"/>
      <c r="B57" s="71"/>
      <c r="C57" s="73"/>
      <c r="D57" s="89"/>
      <c r="F57" s="90"/>
    </row>
    <row r="58" spans="1:6" ht="15.75">
      <c r="A58" s="70" t="s">
        <v>83</v>
      </c>
      <c r="B58" s="71"/>
      <c r="C58" s="73"/>
      <c r="D58" s="89">
        <f>+'[7]CF Worksheet'!AT107</f>
        <v>57319</v>
      </c>
      <c r="F58" s="90">
        <f>66036</f>
        <v>66036</v>
      </c>
    </row>
    <row r="59" spans="1:6" ht="15.75">
      <c r="A59" s="71"/>
      <c r="B59" s="71"/>
      <c r="C59" s="73"/>
      <c r="D59" s="89"/>
      <c r="F59" s="90"/>
    </row>
    <row r="60" spans="1:6" ht="15.75">
      <c r="A60" s="70" t="s">
        <v>84</v>
      </c>
      <c r="B60" s="70"/>
      <c r="C60" s="73"/>
      <c r="D60" s="101">
        <f>SUM(D54:D59)</f>
        <v>80143.00444841609</v>
      </c>
      <c r="F60" s="102">
        <f>SUM(F54:F59)</f>
        <v>68973</v>
      </c>
    </row>
    <row r="61" spans="1:6" ht="15.75">
      <c r="A61" s="71"/>
      <c r="B61" s="71"/>
      <c r="C61" s="73"/>
      <c r="D61" s="89"/>
      <c r="F61" s="90"/>
    </row>
    <row r="62" spans="1:6" ht="15.75">
      <c r="A62" s="71"/>
      <c r="B62" s="71"/>
      <c r="C62" s="73"/>
      <c r="D62" s="89"/>
      <c r="F62" s="90"/>
    </row>
    <row r="63" spans="1:6" ht="15.75">
      <c r="A63" s="71" t="s">
        <v>85</v>
      </c>
      <c r="B63" s="71"/>
      <c r="C63" s="73"/>
      <c r="D63" s="89">
        <f>+'[7]CF Worksheet'!AE111</f>
        <v>42341.40141</v>
      </c>
      <c r="F63" s="90">
        <f>59268</f>
        <v>59268</v>
      </c>
    </row>
    <row r="64" spans="1:6" ht="15.75">
      <c r="A64" s="106" t="s">
        <v>95</v>
      </c>
      <c r="B64" s="71"/>
      <c r="C64" s="73"/>
      <c r="D64" s="89">
        <f>+'[7]CF Worksheet'!AD111</f>
        <v>46167.188274</v>
      </c>
      <c r="F64" s="90">
        <f>18760</f>
        <v>18760</v>
      </c>
    </row>
    <row r="65" spans="1:6" ht="15.75">
      <c r="A65" s="71" t="s">
        <v>86</v>
      </c>
      <c r="B65" s="71"/>
      <c r="C65" s="73"/>
      <c r="D65" s="89">
        <f>+'[7]CF Worksheet'!AO111</f>
        <v>-8365.93109064</v>
      </c>
      <c r="F65" s="90">
        <f>-9055</f>
        <v>-9055</v>
      </c>
    </row>
    <row r="66" spans="1:6" ht="15.75">
      <c r="A66" s="70" t="s">
        <v>148</v>
      </c>
      <c r="B66" s="70"/>
      <c r="C66" s="73"/>
      <c r="D66" s="101">
        <f>SUM(D63:D65)</f>
        <v>80142.65859336</v>
      </c>
      <c r="F66" s="102">
        <f>SUM(F63:F65)</f>
        <v>68973</v>
      </c>
    </row>
    <row r="67" spans="1:4" ht="15.75">
      <c r="A67" s="71"/>
      <c r="B67" s="71"/>
      <c r="C67" s="73"/>
      <c r="D67" s="89"/>
    </row>
    <row r="68" spans="1:7" ht="12.75" customHeight="1">
      <c r="A68" s="115" t="s">
        <v>135</v>
      </c>
      <c r="B68" s="115"/>
      <c r="C68" s="115"/>
      <c r="D68" s="115"/>
      <c r="E68" s="115"/>
      <c r="F68" s="115"/>
      <c r="G68" s="40"/>
    </row>
    <row r="69" spans="1:6" ht="12.75">
      <c r="A69" s="115"/>
      <c r="B69" s="115"/>
      <c r="C69" s="115"/>
      <c r="D69" s="115"/>
      <c r="E69" s="115"/>
      <c r="F69" s="115"/>
    </row>
    <row r="70" spans="4:6" ht="12.75">
      <c r="D70" s="107"/>
      <c r="F70" s="108"/>
    </row>
    <row r="71" ht="12.75">
      <c r="D71" s="107"/>
    </row>
    <row r="72" ht="12.75">
      <c r="D72" s="107"/>
    </row>
    <row r="73" ht="12.75">
      <c r="D73" s="107"/>
    </row>
    <row r="74" ht="12.75">
      <c r="D74" s="107"/>
    </row>
    <row r="75" ht="12.75">
      <c r="D75" s="107"/>
    </row>
    <row r="76" ht="12.75">
      <c r="D76" s="107"/>
    </row>
    <row r="77" ht="12.75">
      <c r="D77" s="107"/>
    </row>
    <row r="78" ht="12.75">
      <c r="D78" s="107"/>
    </row>
    <row r="79" ht="12.75">
      <c r="D79" s="107"/>
    </row>
    <row r="80" ht="12.75">
      <c r="D80" s="107"/>
    </row>
    <row r="81" ht="12.75">
      <c r="D81" s="107"/>
    </row>
    <row r="82" ht="12.75">
      <c r="D82" s="107"/>
    </row>
    <row r="83" ht="12.75">
      <c r="D83" s="107"/>
    </row>
    <row r="84" ht="12.75">
      <c r="D84" s="107"/>
    </row>
    <row r="85" ht="12.75">
      <c r="D85" s="107"/>
    </row>
    <row r="86" ht="12.75">
      <c r="D86" s="107"/>
    </row>
    <row r="87" ht="12.75">
      <c r="D87" s="107"/>
    </row>
    <row r="88" ht="12.75">
      <c r="D88" s="107"/>
    </row>
    <row r="89" ht="12.75">
      <c r="D89" s="107"/>
    </row>
    <row r="90" ht="12.75">
      <c r="D90" s="107"/>
    </row>
    <row r="91" ht="12.75">
      <c r="D91" s="107"/>
    </row>
    <row r="92" ht="12.75">
      <c r="D92" s="107"/>
    </row>
    <row r="93" ht="12.75">
      <c r="D93" s="107"/>
    </row>
    <row r="94" ht="12.75">
      <c r="D94" s="107"/>
    </row>
    <row r="95" ht="12.75">
      <c r="D95" s="107"/>
    </row>
    <row r="96" ht="12.75">
      <c r="D96" s="107"/>
    </row>
    <row r="97" ht="12.75">
      <c r="D97" s="107"/>
    </row>
    <row r="98" ht="12.75">
      <c r="D98" s="107"/>
    </row>
    <row r="99" ht="12.75">
      <c r="D99" s="107"/>
    </row>
    <row r="100" ht="12.75">
      <c r="D100" s="107"/>
    </row>
    <row r="101" ht="12.75">
      <c r="D101" s="107"/>
    </row>
    <row r="102" ht="12.75">
      <c r="D102" s="107"/>
    </row>
    <row r="103" ht="12.75">
      <c r="D103" s="107"/>
    </row>
    <row r="104" ht="12.75">
      <c r="D104" s="107"/>
    </row>
  </sheetData>
  <sheetProtection password="EF0E" sheet="1" objects="1" scenarios="1"/>
  <mergeCells count="1">
    <mergeCell ref="A68:F69"/>
  </mergeCells>
  <printOptions horizontalCentered="1"/>
  <pageMargins left="0.45" right="0.3" top="0.54" bottom="0.58" header="0.24" footer="0.27"/>
  <pageSetup cellComments="asDisplayed" fitToHeight="1" fitToWidth="1" horizontalDpi="600" verticalDpi="600" orientation="portrait" paperSize="9" scale="74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Wah Seong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</dc:creator>
  <cp:keywords/>
  <dc:description/>
  <cp:lastModifiedBy>MNC1</cp:lastModifiedBy>
  <cp:lastPrinted>2005-08-17T08:30:10Z</cp:lastPrinted>
  <dcterms:created xsi:type="dcterms:W3CDTF">2003-08-19T02:19:15Z</dcterms:created>
  <dcterms:modified xsi:type="dcterms:W3CDTF">2005-08-18T03:11:33Z</dcterms:modified>
  <cp:category/>
  <cp:version/>
  <cp:contentType/>
  <cp:contentStatus/>
</cp:coreProperties>
</file>